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embeddings/oleObject3.bin" ContentType="application/vnd.openxmlformats-officedocument.oleObject"/>
  <Override PartName="/xl/embeddings/oleObject4.bin" ContentType="application/vnd.openxmlformats-officedocument.oleObject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5" windowWidth="11355" windowHeight="8445"/>
  </bookViews>
  <sheets>
    <sheet name="Planilha Orcamentaria" sheetId="5" r:id="rId1"/>
    <sheet name="Memoria de calculo" sheetId="9" r:id="rId2"/>
    <sheet name="CRONOGRAMA FISICO FINANCEIRO" sheetId="8" r:id="rId3"/>
    <sheet name="BDI" sheetId="10" r:id="rId4"/>
  </sheets>
  <definedNames>
    <definedName name="_xlnm.Print_Area" localSheetId="2">'CRONOGRAMA FISICO FINANCEIRO'!$A$1:$K$37</definedName>
    <definedName name="_xlnm.Print_Area" localSheetId="1">'Memoria de calculo'!$A$1:$E$120</definedName>
    <definedName name="_xlnm.Print_Area" localSheetId="0">'Planilha Orcamentaria'!$A$1:$H$109</definedName>
    <definedName name="_xlnm.Print_Titles" localSheetId="1">'Memoria de calculo'!$9:$9</definedName>
  </definedNames>
  <calcPr calcId="124519"/>
  <fileRecoveryPr autoRecover="0"/>
</workbook>
</file>

<file path=xl/calcChain.xml><?xml version="1.0" encoding="utf-8"?>
<calcChain xmlns="http://schemas.openxmlformats.org/spreadsheetml/2006/main">
  <c r="G33" i="5"/>
  <c r="G32"/>
  <c r="G31"/>
  <c r="E76" i="9"/>
  <c r="G88" i="5"/>
  <c r="G89"/>
  <c r="G90"/>
  <c r="E70"/>
  <c r="E71"/>
  <c r="E69"/>
  <c r="G71"/>
  <c r="G70"/>
  <c r="G69"/>
  <c r="G51"/>
  <c r="G52"/>
  <c r="G50"/>
  <c r="E51"/>
  <c r="E52"/>
  <c r="E50"/>
  <c r="E32"/>
  <c r="E33"/>
  <c r="E31"/>
  <c r="E75" i="9"/>
  <c r="E63"/>
  <c r="E61"/>
  <c r="E59"/>
  <c r="E58"/>
  <c r="E46"/>
  <c r="E45"/>
  <c r="E44"/>
  <c r="E42"/>
  <c r="E41"/>
  <c r="E29"/>
  <c r="E28"/>
  <c r="E27"/>
  <c r="E25"/>
  <c r="E24"/>
  <c r="H52" i="5" l="1"/>
  <c r="H31"/>
  <c r="H33"/>
  <c r="H32"/>
  <c r="E62" i="9"/>
  <c r="E17" i="5"/>
  <c r="F12" i="9" l="1"/>
  <c r="E18" i="5"/>
  <c r="E100" i="9" l="1"/>
  <c r="E97"/>
  <c r="E66"/>
  <c r="E52"/>
  <c r="E35"/>
  <c r="E86" l="1"/>
  <c r="E69"/>
  <c r="E18"/>
  <c r="E19" s="1"/>
  <c r="E102"/>
  <c r="E12" l="1"/>
  <c r="K12" l="1"/>
  <c r="E24" i="10" l="1"/>
  <c r="E23"/>
  <c r="E111" i="9"/>
  <c r="E106"/>
  <c r="E107" s="1"/>
  <c r="E92"/>
  <c r="O73"/>
  <c r="O56"/>
  <c r="E49"/>
  <c r="E56" i="5" s="1"/>
  <c r="E48"/>
  <c r="O22" i="9"/>
  <c r="E32"/>
  <c r="E37" i="5" s="1"/>
  <c r="F13" i="9"/>
  <c r="E75" i="5"/>
  <c r="G17"/>
  <c r="H17" s="1"/>
  <c r="G55"/>
  <c r="H55" s="1"/>
  <c r="G93"/>
  <c r="H93" s="1"/>
  <c r="G94"/>
  <c r="G78"/>
  <c r="H78" s="1"/>
  <c r="G79"/>
  <c r="G80"/>
  <c r="G81"/>
  <c r="G82"/>
  <c r="G83"/>
  <c r="G84"/>
  <c r="G85"/>
  <c r="G86"/>
  <c r="G87"/>
  <c r="G91"/>
  <c r="G74"/>
  <c r="H74" s="1"/>
  <c r="G75"/>
  <c r="G59"/>
  <c r="H59" s="1"/>
  <c r="G60"/>
  <c r="G61"/>
  <c r="G62"/>
  <c r="G63"/>
  <c r="G64"/>
  <c r="G65"/>
  <c r="G66"/>
  <c r="G67"/>
  <c r="G68"/>
  <c r="G72"/>
  <c r="G56"/>
  <c r="G42"/>
  <c r="G43"/>
  <c r="G44"/>
  <c r="G45"/>
  <c r="G46"/>
  <c r="G47"/>
  <c r="G48"/>
  <c r="G49"/>
  <c r="G53"/>
  <c r="G41"/>
  <c r="G37"/>
  <c r="G23"/>
  <c r="G24"/>
  <c r="G25"/>
  <c r="G26"/>
  <c r="G27"/>
  <c r="G28"/>
  <c r="G29"/>
  <c r="G30"/>
  <c r="G34"/>
  <c r="G22"/>
  <c r="G15"/>
  <c r="G18"/>
  <c r="H18" s="1"/>
  <c r="G14"/>
  <c r="H14" s="1"/>
  <c r="G21"/>
  <c r="H21" s="1"/>
  <c r="E29" l="1"/>
  <c r="E30" i="9"/>
  <c r="E34" i="5" s="1"/>
  <c r="H34" s="1"/>
  <c r="H56"/>
  <c r="H57" s="1"/>
  <c r="E18" i="8" s="1"/>
  <c r="G18" s="1"/>
  <c r="E93" i="9"/>
  <c r="E83"/>
  <c r="E94" i="5" s="1"/>
  <c r="H94" s="1"/>
  <c r="H95" s="1"/>
  <c r="E26" i="8" s="1"/>
  <c r="F26" s="1"/>
  <c r="E25" i="10"/>
  <c r="E47" i="5"/>
  <c r="H47" s="1"/>
  <c r="E94" i="9"/>
  <c r="H75" i="5"/>
  <c r="H76" s="1"/>
  <c r="E22" i="8" s="1"/>
  <c r="K22" s="1"/>
  <c r="E88" i="9"/>
  <c r="E28" i="5"/>
  <c r="H28" s="1"/>
  <c r="H48"/>
  <c r="H29"/>
  <c r="H37"/>
  <c r="H38" s="1"/>
  <c r="E14" i="8" s="1"/>
  <c r="H14" s="1"/>
  <c r="E85" i="5"/>
  <c r="H85" s="1"/>
  <c r="E43" i="9"/>
  <c r="E49" i="5" s="1"/>
  <c r="H49" s="1"/>
  <c r="E47" i="9"/>
  <c r="E53" i="5" s="1"/>
  <c r="H53" s="1"/>
  <c r="E79"/>
  <c r="H79" s="1"/>
  <c r="E71" i="9"/>
  <c r="E81" i="5" s="1"/>
  <c r="H81" s="1"/>
  <c r="E26" i="9"/>
  <c r="E30" i="5" s="1"/>
  <c r="H30" s="1"/>
  <c r="E20" i="9"/>
  <c r="E22" i="5"/>
  <c r="H22" s="1"/>
  <c r="E109" i="9"/>
  <c r="E108"/>
  <c r="E60" i="5"/>
  <c r="H60" s="1"/>
  <c r="E54" i="9"/>
  <c r="E62" i="5" s="1"/>
  <c r="H62" s="1"/>
  <c r="H71" l="1"/>
  <c r="H69"/>
  <c r="H70"/>
  <c r="H50"/>
  <c r="H51"/>
  <c r="E77" i="9"/>
  <c r="E87" i="5" s="1"/>
  <c r="H87" s="1"/>
  <c r="E79" i="9"/>
  <c r="E89" i="5" s="1"/>
  <c r="E78" i="9"/>
  <c r="E88" i="5" s="1"/>
  <c r="E80" i="9"/>
  <c r="E90" i="5" s="1"/>
  <c r="H90" s="1"/>
  <c r="E81" i="9"/>
  <c r="E91" i="5" s="1"/>
  <c r="H91" s="1"/>
  <c r="E86"/>
  <c r="H86" s="1"/>
  <c r="E24"/>
  <c r="F20" i="9"/>
  <c r="E21" s="1"/>
  <c r="E95"/>
  <c r="E89"/>
  <c r="E101"/>
  <c r="F14" i="8"/>
  <c r="F22"/>
  <c r="G22"/>
  <c r="H22"/>
  <c r="I22"/>
  <c r="J22"/>
  <c r="J14"/>
  <c r="E105" i="9"/>
  <c r="K14" i="8"/>
  <c r="I14"/>
  <c r="G14"/>
  <c r="E67" i="5"/>
  <c r="H67" s="1"/>
  <c r="E66"/>
  <c r="H66" s="1"/>
  <c r="G26" i="8"/>
  <c r="I26"/>
  <c r="H26"/>
  <c r="K26"/>
  <c r="J26"/>
  <c r="G23" i="9"/>
  <c r="E74"/>
  <c r="E84" i="5" s="1"/>
  <c r="H84" s="1"/>
  <c r="E70" i="9"/>
  <c r="E80" i="5" s="1"/>
  <c r="H80" s="1"/>
  <c r="E23" i="9"/>
  <c r="E27" i="5" s="1"/>
  <c r="H27" s="1"/>
  <c r="E23"/>
  <c r="H23" s="1"/>
  <c r="G57" i="9"/>
  <c r="F54"/>
  <c r="E55" s="1"/>
  <c r="F71"/>
  <c r="E72" s="1"/>
  <c r="F72" s="1"/>
  <c r="G74"/>
  <c r="E41" i="5"/>
  <c r="H41" s="1"/>
  <c r="E37" i="9"/>
  <c r="G6" s="1"/>
  <c r="G105"/>
  <c r="F102"/>
  <c r="E103" s="1"/>
  <c r="E57"/>
  <c r="E65" i="5" s="1"/>
  <c r="H65" s="1"/>
  <c r="E53" i="9"/>
  <c r="E61" i="5" s="1"/>
  <c r="H61" s="1"/>
  <c r="H24" l="1"/>
  <c r="E43"/>
  <c r="H43" s="1"/>
  <c r="F37" i="9"/>
  <c r="E38" s="1"/>
  <c r="E15" i="5"/>
  <c r="H15" s="1"/>
  <c r="E91" i="9"/>
  <c r="E87"/>
  <c r="E64"/>
  <c r="E72" i="5" s="1"/>
  <c r="H72" s="1"/>
  <c r="E60" i="9"/>
  <c r="E68" i="5" s="1"/>
  <c r="H68" s="1"/>
  <c r="F103" i="9"/>
  <c r="E104" s="1"/>
  <c r="E90"/>
  <c r="F21"/>
  <c r="E22" s="1"/>
  <c r="E26" i="5" s="1"/>
  <c r="H26" s="1"/>
  <c r="E25"/>
  <c r="H25" s="1"/>
  <c r="E73" i="9"/>
  <c r="E83" i="5" s="1"/>
  <c r="H83" s="1"/>
  <c r="E82"/>
  <c r="H82" s="1"/>
  <c r="F55" i="9"/>
  <c r="E56" s="1"/>
  <c r="E64" i="5" s="1"/>
  <c r="H64" s="1"/>
  <c r="E63"/>
  <c r="H63" s="1"/>
  <c r="G40" i="9"/>
  <c r="E36"/>
  <c r="E42" i="5" s="1"/>
  <c r="H42" s="1"/>
  <c r="E40" i="9"/>
  <c r="E46" i="5" s="1"/>
  <c r="H46" s="1"/>
  <c r="H88" l="1"/>
  <c r="H89"/>
  <c r="K18"/>
  <c r="H35"/>
  <c r="H73"/>
  <c r="E20" i="8" s="1"/>
  <c r="F38" i="9"/>
  <c r="E39" s="1"/>
  <c r="E45" i="5" s="1"/>
  <c r="H45" s="1"/>
  <c r="E44"/>
  <c r="H44" s="1"/>
  <c r="H92" l="1"/>
  <c r="E24" i="8" s="1"/>
  <c r="G24" s="1"/>
  <c r="E12"/>
  <c r="H54" i="5"/>
  <c r="E16" i="8" s="1"/>
  <c r="G20"/>
  <c r="K20"/>
  <c r="J20"/>
  <c r="I20"/>
  <c r="F20"/>
  <c r="H20"/>
  <c r="F24" l="1"/>
  <c r="K24"/>
  <c r="I24"/>
  <c r="J24"/>
  <c r="H24"/>
  <c r="I16" i="5"/>
  <c r="H16" s="1"/>
  <c r="H19" s="1"/>
  <c r="H96" s="1"/>
  <c r="I12" i="8"/>
  <c r="K12"/>
  <c r="G12"/>
  <c r="H12"/>
  <c r="J12"/>
  <c r="F12"/>
  <c r="I18"/>
  <c r="I16"/>
  <c r="J18"/>
  <c r="G16"/>
  <c r="K18"/>
  <c r="F16"/>
  <c r="K16"/>
  <c r="J16"/>
  <c r="H16"/>
  <c r="H18"/>
  <c r="F18"/>
  <c r="E10" l="1"/>
  <c r="G16" i="5"/>
  <c r="J10" i="8" l="1"/>
  <c r="J28" s="1"/>
  <c r="E28"/>
  <c r="F6" s="1"/>
  <c r="F10"/>
  <c r="F28" s="1"/>
  <c r="K10"/>
  <c r="K28" s="1"/>
  <c r="I10"/>
  <c r="I28" s="1"/>
  <c r="G10"/>
  <c r="G28" s="1"/>
  <c r="H10"/>
  <c r="H28" s="1"/>
  <c r="G27" l="1"/>
  <c r="K27"/>
  <c r="F27"/>
  <c r="H27"/>
  <c r="I27"/>
  <c r="E11"/>
  <c r="E19"/>
  <c r="E15"/>
  <c r="E17"/>
  <c r="E23"/>
  <c r="E21"/>
  <c r="E9"/>
  <c r="E13"/>
  <c r="J27"/>
  <c r="E25"/>
  <c r="E27" l="1"/>
</calcChain>
</file>

<file path=xl/sharedStrings.xml><?xml version="1.0" encoding="utf-8"?>
<sst xmlns="http://schemas.openxmlformats.org/spreadsheetml/2006/main" count="827" uniqueCount="374">
  <si>
    <t>ITEM</t>
  </si>
  <si>
    <t>DESCRIÇÃO</t>
  </si>
  <si>
    <t>QUANTIDADE</t>
  </si>
  <si>
    <t>UNIDADE</t>
  </si>
  <si>
    <t>PLANILHA ORÇAMENTÁRIA DE CUSTOS</t>
  </si>
  <si>
    <t>CÓDIGO</t>
  </si>
  <si>
    <t>DIRETA</t>
  </si>
  <si>
    <t>INDIRETA</t>
  </si>
  <si>
    <t>(    )</t>
  </si>
  <si>
    <t>LDI</t>
  </si>
  <si>
    <t>PREÇO TOTAL</t>
  </si>
  <si>
    <t xml:space="preserve">FORMA DE EXECUÇÃO: </t>
  </si>
  <si>
    <t>PREÇO UNITÁRIO S/ LDI</t>
  </si>
  <si>
    <t>PREÇO UNITÁRIO C/ LDI</t>
  </si>
  <si>
    <t>1.1</t>
  </si>
  <si>
    <t>IIO-001</t>
  </si>
  <si>
    <t>INSTALAÇÕES INICIAIS DA OBRA</t>
  </si>
  <si>
    <t>1.2</t>
  </si>
  <si>
    <t>IIO-PLA-005</t>
  </si>
  <si>
    <t>OBR-001</t>
  </si>
  <si>
    <t>OBRAS VIÁRIAS</t>
  </si>
  <si>
    <t>2.1</t>
  </si>
  <si>
    <t>OBR-VIA-130</t>
  </si>
  <si>
    <t>REGULARIZAÇÃO DO SUBLEITO COM PROCTOR INTERMEDIÁRIO</t>
  </si>
  <si>
    <t>OBR-VIA-145</t>
  </si>
  <si>
    <t>OBR-VIA-435</t>
  </si>
  <si>
    <t>OBR-VIA-165</t>
  </si>
  <si>
    <t>OBR-VIA-160</t>
  </si>
  <si>
    <t>DRE-001</t>
  </si>
  <si>
    <t>3.1</t>
  </si>
  <si>
    <t>4.1</t>
  </si>
  <si>
    <t>TOTAL GERAL DA OBRA</t>
  </si>
  <si>
    <t xml:space="preserve">FOLHA Nº: </t>
  </si>
  <si>
    <t>PREFEITURA: PREFEITURA MUNICIPAL DE CORAÇÃO DE JESUS</t>
  </si>
  <si>
    <t>FORNECIMENTO E COLOCAÇÃO DE PLACA DE OBRA EM CHAPA GALVANIZADA (3,00 X 1,50 M) - EM CHAPA GALVANIZADA 0,26 AFIXADAS COM REBITES 540 E PARAFUSOS 3/8, EM ESTRUTURA METÁLICA VIGA U 2" ENRIJECIDA COM METALON 20 X 20, SUPORTE EM EUCALIPTO AUTOCLAVADO PINTADAS NE FRENTE E NO VERSO COM FUNDO ANTICORROSIVO E TINTA AUTOMOTIVA, CONFORME MANUAL DE IDENTIDADE VISUAL DO GOVERNO DE MINAS</t>
  </si>
  <si>
    <t>unid.</t>
  </si>
  <si>
    <t>m²</t>
  </si>
  <si>
    <t>1.3</t>
  </si>
  <si>
    <t>MOB-DES-020</t>
  </si>
  <si>
    <t>MOBILIZAÇÃO E DESMOBILIZAÇÃO DE OBRA - PARA OBRAS EXECUTADAS EM CENTROS URBANOS OU PRÓXIMOS DE CENTROS URBANOS - 0,5% DO TOTAL</t>
  </si>
  <si>
    <t>%</t>
  </si>
  <si>
    <t>1.4</t>
  </si>
  <si>
    <t>1.0</t>
  </si>
  <si>
    <t>2.0</t>
  </si>
  <si>
    <t>2.1.1</t>
  </si>
  <si>
    <t>OBR-VIA-015</t>
  </si>
  <si>
    <t>2.1.2</t>
  </si>
  <si>
    <t xml:space="preserve">TRA-CAM-020 </t>
  </si>
  <si>
    <t>2.1.3</t>
  </si>
  <si>
    <t>2.1.4</t>
  </si>
  <si>
    <t>4743</t>
  </si>
  <si>
    <t>2.1.5</t>
  </si>
  <si>
    <t>OBR-VIA-320</t>
  </si>
  <si>
    <t>2.1.6</t>
  </si>
  <si>
    <t>2.1.7</t>
  </si>
  <si>
    <t>2.1.8</t>
  </si>
  <si>
    <t>2.1.10</t>
  </si>
  <si>
    <t>ESCAVAÇÃO E CARGA COM TRATOR E CARREGADEIRA (MATERIAL DE 1ª CATEGORIA)</t>
  </si>
  <si>
    <t>m³</t>
  </si>
  <si>
    <t xml:space="preserve">TRANSPORTE DE MATERIAL DE QUALQUER NATUREZA EM
CAMINHÃO DMT &gt; 5 KM (DENTRO DO PERÍMETRO URBANO)
</t>
  </si>
  <si>
    <t>m³xKm</t>
  </si>
  <si>
    <t xml:space="preserve">TRANSPORTE DE MATERIAL DE JAZIDA PARA CONSERVAÇÃO.
DISTÂNCIA MÉDIA DE TRANSPORTE DE 10,10 A 15,00 KM </t>
  </si>
  <si>
    <t>TxKm</t>
  </si>
  <si>
    <t>2.2.0</t>
  </si>
  <si>
    <t>SERVIÇOS COMPLEMENTARES - DRENAGEM</t>
  </si>
  <si>
    <t>2.2.1</t>
  </si>
  <si>
    <t>DRE-SAR-025</t>
  </si>
  <si>
    <t>m</t>
  </si>
  <si>
    <t>4.0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</si>
  <si>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</si>
  <si>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</si>
  <si>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</si>
  <si>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</si>
  <si>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</si>
  <si>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</si>
  <si>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</si>
  <si>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</si>
  <si>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4.1.10</t>
  </si>
  <si>
    <t>4.2.0</t>
  </si>
  <si>
    <t>4.2.1</t>
  </si>
  <si>
    <t>LOCAL:  TRECHOS DE RUAS URBANAS DE CORAÇÃO DE JESUS</t>
  </si>
  <si>
    <t>( X )</t>
  </si>
  <si>
    <t xml:space="preserve"> SUB TOTAL</t>
  </si>
  <si>
    <t>SUB TOTAL</t>
  </si>
  <si>
    <t>PREFEITURA MUNICIPAL DE CORAÇÃO DE JESUS
ESTADO DE MINAS GERAIS</t>
  </si>
  <si>
    <t>3.0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</si>
  <si>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</si>
  <si>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</si>
  <si>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</si>
  <si>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</si>
  <si>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</si>
  <si>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</si>
  <si>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</si>
  <si>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</si>
  <si>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3.1.10</t>
  </si>
  <si>
    <t>3.2.0</t>
  </si>
  <si>
    <t>3.2.1</t>
  </si>
  <si>
    <t>5.0</t>
  </si>
  <si>
    <t>5.1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</si>
  <si>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</si>
  <si>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</si>
  <si>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</si>
  <si>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</si>
  <si>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</si>
  <si>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</si>
  <si>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</si>
  <si>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</si>
  <si>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5.1.10</t>
  </si>
  <si>
    <t>5.2.0</t>
  </si>
  <si>
    <t>5.2.1</t>
  </si>
  <si>
    <t>6.0</t>
  </si>
  <si>
    <t>6.1.0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</si>
  <si>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</si>
  <si>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</si>
  <si>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</si>
  <si>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</si>
  <si>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</si>
  <si>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</si>
  <si>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</si>
  <si>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</si>
  <si>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6.1.10</t>
  </si>
  <si>
    <t>6.2.0</t>
  </si>
  <si>
    <t>6.2.1</t>
  </si>
  <si>
    <t>7.0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</si>
  <si>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</si>
  <si>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</si>
  <si>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</si>
  <si>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</si>
  <si>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</si>
  <si>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</si>
  <si>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</si>
  <si>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</si>
  <si>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7.1.10</t>
  </si>
  <si>
    <t>7.2.0</t>
  </si>
  <si>
    <t>7.2.1</t>
  </si>
  <si>
    <t>CRONOGRAMA FÍSICO-FINANCEIRO</t>
  </si>
  <si>
    <t>ETAPAS/DESCRIÇÃO</t>
  </si>
  <si>
    <t>FÍSICO/ FINANCEIRO</t>
  </si>
  <si>
    <t>TOTAL  ETAPAS</t>
  </si>
  <si>
    <t>MÊS 1</t>
  </si>
  <si>
    <t>MÊS 2</t>
  </si>
  <si>
    <t>MÊS 3</t>
  </si>
  <si>
    <t>MÊS 4</t>
  </si>
  <si>
    <t>MÊS 5</t>
  </si>
  <si>
    <t>MÊS 6</t>
  </si>
  <si>
    <t>Físico %</t>
  </si>
  <si>
    <t>Financeiro</t>
  </si>
  <si>
    <t>TOTAL</t>
  </si>
  <si>
    <t xml:space="preserve"> </t>
  </si>
  <si>
    <t>Observações:</t>
  </si>
  <si>
    <t>OBRA: PAVIMENTAÇÃO DE VIAS PUBLICAS EM PMF - ESPESSURA 3,00cm</t>
  </si>
  <si>
    <t>OBRA:  PAVIMENTAÇÃO DE VIAS PUBLICAS EM PMF - ESPESSURA 3,00cm</t>
  </si>
  <si>
    <t>LOCAL: TRECHOS DE RUAS URBANAS DE CORAÇÃO DE JESUS</t>
  </si>
  <si>
    <t>CREA-MG 201739/D</t>
  </si>
  <si>
    <t>JOSÉ RAMOS LAFETA NETO</t>
  </si>
  <si>
    <t>ROBSON ADALBERTO MOTA DIAS</t>
  </si>
  <si>
    <t>PREFEITO MUNICIPAL</t>
  </si>
  <si>
    <t>ENGENHEIRO CIVIL</t>
  </si>
  <si>
    <t>BANHEIRO QUÍMICO 110 X 120 X 230 CM COM MANUTENÇÃO</t>
  </si>
  <si>
    <t>IIO-SAN-005</t>
  </si>
  <si>
    <t>MÊS</t>
  </si>
  <si>
    <t>MEMORIA DE CALCULO DE QUANTITATIVOS</t>
  </si>
  <si>
    <t>PREFEITURA MUNICIPAL DE CORAÇÃO DE JESUS</t>
  </si>
  <si>
    <t>OBRA: PAVIMENTAÇÃO DE VIAS PUBLICAS EM PMF - ESPESSURA 3,00 CM</t>
  </si>
  <si>
    <t>FORMULAS</t>
  </si>
  <si>
    <t>1.1.1</t>
  </si>
  <si>
    <t>1.1.2</t>
  </si>
  <si>
    <t>1.1.3</t>
  </si>
  <si>
    <t>Mobilização e desmobilização de obra em centros urbanos ou próximos de centros urbanos</t>
  </si>
  <si>
    <t>VERBA DE MOBILIZAÇÃO E DESMOBILIZAÇÃO DE OBRA (0,5% DO RECURSO TOTAL)</t>
  </si>
  <si>
    <t>1.1.4</t>
  </si>
  <si>
    <t>2.1.0</t>
  </si>
  <si>
    <t>AREA PISTA</t>
  </si>
  <si>
    <t>MEIO FIO</t>
  </si>
  <si>
    <t>COMPRIMENTO</t>
  </si>
  <si>
    <t>AREA TOTAL</t>
  </si>
  <si>
    <t>2.1.9</t>
  </si>
  <si>
    <t>SERVIÇOS COMPLEMENTARES</t>
  </si>
  <si>
    <t>3.1.0</t>
  </si>
  <si>
    <t>3.1.9</t>
  </si>
  <si>
    <t>4.1.0</t>
  </si>
  <si>
    <t>4.1.9</t>
  </si>
  <si>
    <t>5.1.0</t>
  </si>
  <si>
    <t>5.1.9</t>
  </si>
  <si>
    <t>6.1.9</t>
  </si>
  <si>
    <t>7.1.0</t>
  </si>
  <si>
    <t>7.1.9</t>
  </si>
  <si>
    <t>Coração de Jesus/MG,17 de Janeiro de 2020</t>
  </si>
  <si>
    <t>_______________________________________</t>
  </si>
  <si>
    <t>JOSÉ RAMOS LAFETÁ NETO</t>
  </si>
  <si>
    <t xml:space="preserve"> CREA - MG-201739/D</t>
  </si>
  <si>
    <t>COMPOSIÇÃO DE LDI</t>
  </si>
  <si>
    <t>OBRA:</t>
  </si>
  <si>
    <t xml:space="preserve"> PAVIMENTAÇÃO DE VIAS PUBLICAS EM PMF - ESPESSURA 3,00 CM - CORAÇÃO DE JESUS</t>
  </si>
  <si>
    <t>CÁLCULO DE COMPOSIÇÃO DE LDI</t>
  </si>
  <si>
    <t>LDI (conforme Ácordão Nº 2622/13)- Construção de Edificios</t>
  </si>
  <si>
    <t>DISCRIMINAÇÃO DAS PARCELAS</t>
  </si>
  <si>
    <t>SIGLA</t>
  </si>
  <si>
    <t>Administração Central</t>
  </si>
  <si>
    <t>AC</t>
  </si>
  <si>
    <t>Lucro</t>
  </si>
  <si>
    <t>L</t>
  </si>
  <si>
    <t>Despesas Finaceiras</t>
  </si>
  <si>
    <t>DF</t>
  </si>
  <si>
    <t>Seguros</t>
  </si>
  <si>
    <t>S</t>
  </si>
  <si>
    <t>Garantias</t>
  </si>
  <si>
    <t>G</t>
  </si>
  <si>
    <t>Risco</t>
  </si>
  <si>
    <t>R</t>
  </si>
  <si>
    <t>Tributos</t>
  </si>
  <si>
    <t>I</t>
  </si>
  <si>
    <t>ISS</t>
  </si>
  <si>
    <t>PIS</t>
  </si>
  <si>
    <t>CONFINS</t>
  </si>
  <si>
    <t>INSS</t>
  </si>
  <si>
    <t>CPRB</t>
  </si>
  <si>
    <t>FÓRMULA DO BDI =</t>
  </si>
  <si>
    <t>(1+(AC+S+G+R))*(1+DF)*(1+L)</t>
  </si>
  <si>
    <t>(1 - (I + CPRB)</t>
  </si>
  <si>
    <t xml:space="preserve">BDI(numerador) = </t>
  </si>
  <si>
    <t xml:space="preserve">BDI(denominador) = </t>
  </si>
  <si>
    <t xml:space="preserve">BDI TOTAL = </t>
  </si>
  <si>
    <t>Coração de Jesus/MG,17 de Janeiro de 2020.</t>
  </si>
  <si>
    <t xml:space="preserve">                    </t>
  </si>
  <si>
    <t>_________________________________________</t>
  </si>
  <si>
    <t>Custo Direto</t>
  </si>
  <si>
    <t>CD</t>
  </si>
  <si>
    <t>Seguros, Garantias e Risco</t>
  </si>
  <si>
    <t>ISS= 5 %</t>
  </si>
  <si>
    <t>1  BANHEIRO QUÍMICO POR TEMPO DE DURAÇÃO DA OBRA : 06 MÊSES</t>
  </si>
  <si>
    <t>1.1.5</t>
  </si>
  <si>
    <t>1.5</t>
  </si>
  <si>
    <t>-</t>
  </si>
  <si>
    <t>BASE DE SOLO SEM MISTURA, COMPACTADA NA ENERGIA DO PROCTOR INTERMEDIÁRIO (EXECUÇÃO, INCLUINDO ESCAVAÇÃO, CARGA, DESCARGA, ESPALHAMENTO, UMIDECIMENTO E
COMPACTAÇÃO DO MATERIAL; EXCLUI AQUISIÇÃO E TRANSPORTE DO MATERIAL)</t>
  </si>
  <si>
    <t>IMPRIMAÇÃO (EXECUÇÃO E FORNECIMENTO DO MATERIAL BETUMINOSO, EXCLUSIVE TRANSPORTE DO MATERIAL BETUMINOSO)</t>
  </si>
  <si>
    <t xml:space="preserve">TRANSPORTE DE MATERIAL DE QUALQUER NATUREZA. DISTÂNCIA MÉDIA DE TRANSPORTE &gt;= 50,10 KM </t>
  </si>
  <si>
    <t>PINTURA DE LIGAÇÃO (EXECUÇÃO E FORNECIMENTO DO MATERIAL BETUMINOSO, EXCLUSIVE TRANSPORTE DO MATERIAL BETUMINOSO)</t>
  </si>
  <si>
    <t>MEIO-FIO COM SARJETA, EXECUTADO C/EXTRUSORA (SARJETA 30X8CM MEIO-FIO 15X10CM X H=23CM), INCLUI ESCAVAÇÃO E ACERTO FAIXA 0,45M</t>
  </si>
  <si>
    <t xml:space="preserve">EXECUÇÃO E APLICAÇÃO DE CONCRETO ASFÁLTICO PREMISTURADO À FRIO (PMF), EM BETONEIRA, INCLUINDO
FORNECIMENTO E TRANSPORTE DOS AGREGADOS E MATERIAL
BETUMINOSO, INCLUSIVE TRANSPORTE DA MASSA ASFÁLTICA ATÉ A PISTA
</t>
  </si>
  <si>
    <t>VOLUME DE MATERIAL DA BASE VEZES DMT -&gt; 67,16m³ x 11,8km</t>
  </si>
  <si>
    <t>FORNECIMENTO E COLOCAÇÃO DE PLACA DE OBRA EM CHAPA GALVANIZADA (3,00 X 1,50 M) - EM CHAPA GALVANIZADA 0,26 AFIXADAS COM REBITES 540 E PARAFUSOS 3/8, EM ESTRUTURA METÁLICA VIGA U 2" ENRIJECIDA COM METALON 20 X 20, SUPORTE EM EUCALIPTO AUTOCLAVADO PINTADAS NE FRENTE E NO VERSO COM FUNDO  ANTICORROSIVO E TINTA AUTOMOTIVA, CONFORME MANUAL DE IDENTIDADE VISUAL DO GOVERNO DE MINAS</t>
  </si>
  <si>
    <t xml:space="preserve">TRANSPORTE DE MATERIAL DE QUALQUER NATUREZA EM CAMINHÃO DMT &gt; 5 KM (DENTRO DO PERÍMETRO URBANO)
</t>
  </si>
  <si>
    <t xml:space="preserve">TRANSPORTE DE MATERIAL DE JAZIDA PARA CONSERVAÇÃO. DISTÂNCIA MÉDIA DE TRANSPORTE DE 10,10 A 15,00 KM </t>
  </si>
  <si>
    <t>BASE DE SOLO SEM MISTURA, COMPACTADA NA ENERGIA DO PROCTOR INTERMEDIÁRIO (EXECUÇÃO, INCLUINDO ESCAVAÇÃO, CARGA, DESCARGA, ESPALHAMENTO, UMIDECIMENTO E COMPACTAÇÃO DO MATERIAL; EXCLUI AQUISIÇÃO E TRANSPORTE DO MATERIAL)</t>
  </si>
  <si>
    <t xml:space="preserve">COMPRIMENTO VEZES LARGURA MEDIA DA PISTA  VEZES EXPESSURA DE CORTE: 122,50m x 7,8m X 0,15m </t>
  </si>
  <si>
    <t>BOTA FORA DO MATERIAL ESCAVADO CONFORME ITEM 2.1.1 -&gt;143,33m³ x 8km</t>
  </si>
  <si>
    <t xml:space="preserve">COMPRIMENTO VEZES LARGURA MEDIA DA PISTA  :  122,50m x 7,8m </t>
  </si>
  <si>
    <t xml:space="preserve"> AREA DE REGULARIZAÇÃO VEZES ESPESSURA (PROFUNDIDADE) DE ESCAVAÇÃO-&gt; 955,50m² x 0,15m</t>
  </si>
  <si>
    <t xml:space="preserve"> AREA DE REGULARIZAÇÃO VEZES ESPESSURA (PROFUNDIDADE) DE ESCAVAÇÃO  -955,50m x 0,15m =</t>
  </si>
  <si>
    <t>LARGURA PISTA ROLAMENTO VEZES COMPRIMENTO MAIS  ACABAMENTO CURVA DE CRUZAMENTO: 122,50m x7m</t>
  </si>
  <si>
    <t>LARGURA PISTA ROLAMENTO VEZES COMPRIMENTO MAIS  ACABAMENTO CURVA DE CRUZAMENTO 122,50m x7m</t>
  </si>
  <si>
    <t>ÁREA DE APLICAÇÃO DO MATERIAL VEZES O PESO POR M² (CM30 + RR1C) VEZES A DISTÂNCIA DA REFINARIA ATÉ A OBRA-&gt; (857,5m²) x (0,0012t/m² + 0,0005t/m²) x (434km + 86km)</t>
  </si>
  <si>
    <t>ÁREA DE APLICAÇÃO DO MATERIAL VEZES ESPESSURA DA PAVIMENTAÇÃO -&gt; (857,50m² x 0,03m)</t>
  </si>
  <si>
    <t xml:space="preserve">SOMATÓRIO DE MEIO-FIO COM SARJETA+ AMARAÇÃO FINAL COM SARJETA  122,50+122,50 </t>
  </si>
  <si>
    <t xml:space="preserve">COMPRIMENTO VEZES LARGURA MEDIA DA PISTA  VEZES EXPESSURA DE CORTE: 42,86m x 3,20m X 0,15m </t>
  </si>
  <si>
    <t>BOTA FORA DO MATERIAL ESCAVADO CONFORME ITEM 2.1.1 -&gt;20,57m³ x 8km</t>
  </si>
  <si>
    <t>COMPRIMENTO VEZES LARGURA MEDIA DA PISTA  :          42,86m x 3,20m</t>
  </si>
  <si>
    <t>VOLUME ESCAVADO AREA DE REGULARIZAÇÃO VEZES ESPESSURA (PROFUNDIDADE) DE ESCAVAÇÃO-&gt; 137,15m² x 0,15m</t>
  </si>
  <si>
    <t>VOLUME DE MATERIAL DA BASE VEZES DMT -&gt;20,57m³ x 11,8km</t>
  </si>
  <si>
    <t xml:space="preserve"> AREA DE REGULARIZAÇÃO VEZES ESPESSURA (PROFUNDIDADE) DE ESCAVAÇÃO  -&gt; 137,15x 0,15m </t>
  </si>
  <si>
    <t>ÁREA DE APLICAÇÃO DO MATERIAL VEZES O PESO POR M² (CM30 + RR1C) VEZES A DISTÂNCIA DA REFINARIA ATÉ A OBRA-&gt; (103,80m²) x (0,0012t/m² + 0,0005t/m²) x (434km + 86km)</t>
  </si>
  <si>
    <t>ÁREA DE APLICAÇÃO DO MATERIAL VEZES ESPESSURA DA PAVIMENTAÇÃO -&gt; 103,80m² x 0,03m)</t>
  </si>
  <si>
    <t xml:space="preserve">SOMATÓRIO DE MEIO-FIO COM SARJETA+ AMARAÇÃO FINAL COM SARJETA                                                 0,80m+7,97m+13,62m+20,70m+1,15m
+10,36m+11,90m+19,80m+0,57m
</t>
  </si>
  <si>
    <t xml:space="preserve">1 PLACA DE OBRA TAMANHO PADRÃO -&gt; 3,00m X 1,50m </t>
  </si>
  <si>
    <r>
      <t xml:space="preserve">LOCAL: </t>
    </r>
    <r>
      <rPr>
        <sz val="10"/>
        <color indexed="8"/>
        <rFont val="Arial"/>
        <family val="2"/>
      </rPr>
      <t xml:space="preserve">  TRECHOS DE RUAS URBANAS DE CORAÇÃO DE JESUS</t>
    </r>
  </si>
  <si>
    <t>LOCAÇÃO TOPOGRÁFICA ACIMA DE 50 PONTOS</t>
  </si>
  <si>
    <t xml:space="preserve">LOC-TOP-015 </t>
  </si>
  <si>
    <t>UNID.</t>
  </si>
  <si>
    <t>LARGURA PISTA ROLAMENTO VEZES COMPRIMENTO MAIS  ACABAMENTO CURVA DE CRUZAMENTO: 42,86 X2,40m +0,94m²</t>
  </si>
  <si>
    <t>LARGURA PISTA ROLAMENTO VEZES COMPRIMENTO MAIS  ACABAMENTO CURVA DE CRUZAMENTO                                42,86 X2,40m +0,94m²</t>
  </si>
  <si>
    <t>CASCALHO DE CAVA (AQUISIÇÃO)</t>
  </si>
  <si>
    <t xml:space="preserve">IIO-BAR-015
</t>
  </si>
  <si>
    <t>BARRACÃO DE OBRA PARA DEPÓSITO E FERRAMENTARIA TIPO-I,
ÁREA INTERNA 14,52M2, EM CHAPA DE COMPENSADO RESINADO,
INCLUSIVE MOBILIÁRIO (OBRA DE PEQUENO PORTE, EFETIVO ATÉ 30
HOMENS), PADRÃO DEER-MG</t>
  </si>
  <si>
    <t>BARRACÃO DE OBRA PARA DEPÓSITO E FERRAMENTARIA TIPO-I, ÁREA INTERNA 14,52M2, EM CHAPA DE COMPENSADO RESINADO, INCLUSIVE MOBILIÁRIO (OBRA DE PEQUENO PORTE, EFETIVO ATÉ 30 HOMENS), PADRÃO DEER-MG</t>
  </si>
  <si>
    <t xml:space="preserve">1 BARRACÃO </t>
  </si>
  <si>
    <t xml:space="preserve">OBR-VIA-190 </t>
  </si>
  <si>
    <t xml:space="preserve">PRÉ-MISTURADO A FRIO - PMF (EXECUÇÃO, INCLUINDO USINAGEM, APLICAÇÃO, ESPALHAMENTO E COMPACTAÇÃO, FORNECIMENTO DOS AGREGADOS E MATERIAL BETUMINOSO, EXCLUI TRANSPORTE DOS AGREGADOS E DO MATERIAL BETUMINOSO ATÉ USINA E DA MASSA PRONTA ATÉ A PISTA)
</t>
  </si>
  <si>
    <t>PRÉ-MISTURADO A FRIO - PMF (EXECUÇÃO, INCLUINDO USINAGEM, APLICAÇÃO, ESPALHAMENTO E COMPACTAÇÃO, FORNECIMENTO DOS AGREGADOS E MATERIAL BETUMINOSO, EXCLUI TRANSPORTE DOS AGREGADOS E DO MATERIAL BETUMINOSO ATÉ USINA E DA MASSA PRONTA ATÉ A PISTA)</t>
  </si>
  <si>
    <t>COMPRIMENTO VEZES LARGURA MEDIA DA PISTA  VEZES EXPESSURA DE CORTE:(( (70,30+19,20+12,40 ) + (70,30+9,17+12,40) ) /2 ) X 7,00m X0,15m</t>
  </si>
  <si>
    <t xml:space="preserve">COMPRIMENTO VEZES LARGURA MEDIA DA PISTA   ::((70,30+19,20+12,40 ) + (70,30+9,17+12,40) ) /2 ) X 7,00m) </t>
  </si>
  <si>
    <t>ÁREA DE APLICAÇÃO DO MATERIAL VEZES O PESO POR M² (CM30 + RR1C) VEZES A DISTÂNCIA DA REFINARIA ATÉ A OBRA-&gt; (600,66m²) x (0,0012t/m² + 0,0005t/m²) x (434km + 86km)</t>
  </si>
  <si>
    <t>ÁREA DE APLICAÇÃO DO MATERIAL VEZES ESPESSURA DA PAVIMENTAÇÃO -&gt; (600,66m² x 0,03m)</t>
  </si>
  <si>
    <t xml:space="preserve">COMPRIMENTO VEZES LARGURA MEDIA DA PISTA  VEZES EXPESSURA DE CORTE:  45,50m x 6,30m x  0,15m </t>
  </si>
  <si>
    <t>BOTA FORA DO MATERIAL ESCAVADO CONFORME ITEM 2.1.1 -&gt;43,00m³ x 8km</t>
  </si>
  <si>
    <t xml:space="preserve">COMPRIMENTO VEZES LARGURA MEDIA DA PISTA  :   45,50m x 6,30m </t>
  </si>
  <si>
    <t>VOLUME ESCAVADO AREA DE REGULARIZAÇÃO VEZES ESPESSURA (PROFUNDIDADE) DE ESCAVAÇÃO-&gt; 286,65m² x 0,15m</t>
  </si>
  <si>
    <t>VOLUME DE MATERIAL DA BASE VEZES DMT -&gt;43,00m³ x 11,8km</t>
  </si>
  <si>
    <t xml:space="preserve">AREA DE REGULARIZAÇÃO VEZES ESPESSURA (PROFUNDIDADE) DE ESCAVAÇÃO                                              45,50m x 6,30m x  0,15m </t>
  </si>
  <si>
    <t>LARGURA PISTA ROLAMENTO VEZES COMPRIMENTO MAIS  ACABAMENTO CURVA DE CRUZAMENTO :                     45,50m x 5,50m</t>
  </si>
  <si>
    <t>ÁREA DE APLICAÇÃO DO MATERIAL VEZES O PESO POR M² (CM30 + RR1C) VEZES A DISTÂNCIA DA REFINARIA ATÉ A OBRA-&gt; (250,25m²) x (0,0012t/m² + 0,0005t/m²) x (434km + 86km)</t>
  </si>
  <si>
    <t>SOMATÓRIO DE MEIO-FIO COM SARJETA+ AMARAÇÃO FINAL COM SARJETA: 45,50m+45,50m</t>
  </si>
  <si>
    <t>BOTA FORA DO MATERIAL ESCAVADO CONFORME ITEM 2.1.1 -&gt;40,95m³ x 8km</t>
  </si>
  <si>
    <t>AREA DE REGULARIZAÇÃO VEZES ESPESSURA (PROFUNDIDADE) DE ESCAVAÇÃO-&gt; 273,00m² x 0,15m</t>
  </si>
  <si>
    <t>VOLUME DE MATERIAL DA BASE VEZES DMT -&gt;40,95m³ x 11,8km</t>
  </si>
  <si>
    <t>LARGURA PISTA ROLAMENTO VEZES COMPRIMENTO MAIS  ACABAMENTO CURVA DE CRUZAMENTO :38,6m x 6,20m</t>
  </si>
  <si>
    <t>ÁREA DE APLICAÇÃO DO MATERIAL  VEZES ESPESSURA DA PAVIMENTAÇÃO -&gt; (38,6m x 6,20m x 0,03m)</t>
  </si>
  <si>
    <t xml:space="preserve">SOMATÓRIO DE MEIO-FIO COM SARJETA+ AMARAÇÃO FINAL COM SARJETA 31,00+39,00+6,60
  </t>
  </si>
  <si>
    <t>COMPRIMENTO VEZES LARGURA MEDIA DA PISTA  VEZES EXPESSURA DE CORTE: 39,00m x 7,00mx 0,15</t>
  </si>
  <si>
    <t>ÁREA DE APLICAÇÃO DO MATERIAL VEZES O PESO POR M² (CM30 + RR1C) VEZES A DISTÂNCIA DA REFINARIA ATÉ A OBRA-&gt; (239,32m²) x (0,0012t/m² + 0,0005t/m²) x (434km + 86km)</t>
  </si>
  <si>
    <t xml:space="preserve">COMPRIMENTO VEZES LARGURA MEDIA DA PISTA  VEZES EXPESSURA DE CORTE:30m x 7,8m X 0,15m </t>
  </si>
  <si>
    <t>BOTA FORA DO MATERIAL ESCAVADO CONFORME ITEM 2.1.1 -&gt;35,10m³ x 8km</t>
  </si>
  <si>
    <t>COMPRIMENTO VEZES LARGURA MEDIA DA PISTA  :              30m x 7,8m</t>
  </si>
  <si>
    <t>AREA DE REGULARIZAÇÃO VEZES ESPESSURA (PROFUNDIDADE) DE ESCAVAÇÃO-&gt; 234,00m² x 0,15m</t>
  </si>
  <si>
    <t>VOLUME DE MATERIAL DA BASE VEZES DMT -&gt; 35,10m³ x 11,8km</t>
  </si>
  <si>
    <t xml:space="preserve">AREA DE REGULARIZAÇÃO VEZES ESPESSURA (PROFUNDIDADE) DE ESCAVAÇÃO  -30m x 7,8m x 0,15m </t>
  </si>
  <si>
    <t>LARGURA PISTA ROLAMENTO VEZES COMPRIMENTO MAIS  ACABAMENTO CURVA DE CRUZAMENTO:                                    30m x 7,0m</t>
  </si>
  <si>
    <t xml:space="preserve">LARGURA PISTA ROLAMENTO VEZES COMPRIMENTO MAIS  ACABAMENTO CURVA DE CRUZAMENTO:                                   30m x 7,0m
</t>
  </si>
  <si>
    <t>SOMATÓRIO DE MEIO-FIO COM SARJETA+ AMARAÇÃO FINAL COM SARJETA  = 30,00m+30,00m</t>
  </si>
  <si>
    <t>BOTA FORA DO MATERIAL ESCAVADO CONFORME ITEM 2.1.1 -&gt;101,72 m³ x 8km</t>
  </si>
  <si>
    <t xml:space="preserve"> AREA DE REGULARIZAÇÃO VEZES ESPESSURA (PROFUNDIDADE) DE ESCAVAÇÃO-&gt; 678,16m² x 0,15m</t>
  </si>
  <si>
    <t>VOLUME DE MATERIAL DA BASE VEZES DMT -&gt; 101,72m³ x 11,8km</t>
  </si>
  <si>
    <t xml:space="preserve"> AREA DE REGULARIZAÇÃO VEZES ESPESSURA (PROFUNDIDADE) DE ESCAVAÇÃO  -((70,30+19,20+12,40 ) + (70,30+9,17+12,40) ) /2 ) X 7,00m X0,15m</t>
  </si>
  <si>
    <t xml:space="preserve">LARGURA PISTA ROLAMENTO VEZES COMPRIMENTO MAIS  ACABAMENTO CURVA DE CRUZAMENTO :96,88 X 6,20m </t>
  </si>
  <si>
    <t>SOMATÓRIO DE MEIO-FIO COM SARJETA+ AMARAÇÃO FINAL COM SARJETA: 70,30m+19,20m+12,40m+70,30m+9,17m+12,40m</t>
  </si>
  <si>
    <t>ÁREA DE APLICAÇÃO DO MATERIAL VEZES ESPESSURA DA PAVIMENTAÇÃO -&gt; (250,25m² x 0,03m)</t>
  </si>
  <si>
    <t>COMPRIMENTO VEZES LARGURA MEDIA DA PISTA  :39m x 7,00m</t>
  </si>
  <si>
    <t xml:space="preserve"> AREA DE REGULARIZAÇÃO VEZES ESPESSURA (PROFUNDIDADE) DE ESCAVAÇÃO                                             39,00m x 7,00mx  0,15m </t>
  </si>
  <si>
    <t>ÁREA DE APLICAÇÃO DO MATERIAL VEZES O PESO POR M² (CM30 + RR1C) VEZES A DISTÂNCIA DA REFINARIA ATÉ A OBRA-&gt; (210,00m²) x (0,0012t/m² + 0,0005t/m²) x (434km + 86km)</t>
  </si>
  <si>
    <t>ÁREA DE APLICAÇÃO DO MATERIAL VEZES ESPESSURA DA PAVIMENTAÇÃO -&gt; (210m² x 0,03m)</t>
  </si>
  <si>
    <t>LOCAÇÃO DE PONTO TOPOGRAFICO A CADA 20 METROS DE VIA (45,50m+38,6m+96,88m+30m)/20m</t>
  </si>
  <si>
    <t>REGIÃO/MÊS DE REFERÊNCIA:  SETOP/NORTE 04/2020 (DESONERADO) - SINAPI 05/2020 (DESONERADO)</t>
  </si>
  <si>
    <t>DATA:17/09/2020</t>
  </si>
  <si>
    <t>OBRAS VIÁRIAS - RUA ZÉ DO JIPE</t>
  </si>
  <si>
    <t>DRENAGEM  -RUA ZÉ DO JIPE</t>
  </si>
  <si>
    <t>OBRAS VIÁRIAS -RUA PADRE COLATINO</t>
  </si>
  <si>
    <t>DRENAGEM  -RUA PADRE COLATINO</t>
  </si>
  <si>
    <t>OBRAS VIÁRIAS - RUA INHAZINHA MENDONÇA</t>
  </si>
  <si>
    <t>DRENAGEM  -RUA INHAZINHA MENDONÇA</t>
  </si>
  <si>
    <t>VALOR DO CONVÊNIO:</t>
  </si>
  <si>
    <t>PRAZO DE EXECUÇÃO: 02 MESES</t>
  </si>
  <si>
    <t>DRENAGEM  - RUA ZYNA DE AGUIAR</t>
  </si>
  <si>
    <t>OBRAS VIÁRIAS - RUA ZYNA DE AGUIAR</t>
  </si>
  <si>
    <t>PRAZO DA OBRA:02 MESES</t>
  </si>
  <si>
    <t>RUA ZÉ DO JIPE, BAIRRO RENOVAÇÃO</t>
  </si>
  <si>
    <t>RUA ZYNA DE AGUIAR, BAIRRO SANTA TEREZA</t>
  </si>
  <si>
    <t>RUA PADRE COLATINO, BAIRRO SANTA TEREZA</t>
  </si>
  <si>
    <t>RUA INHAZINHA MENDONÇA, BAIRRO SANTA TEREZA</t>
  </si>
  <si>
    <t>2.1.11</t>
  </si>
  <si>
    <r>
      <t>TRANSPORTE DE AGREGADO DMT DE 0 A 10 KM (Mineradora até à Usina de PMF em Montes Claros - DMT =</t>
    </r>
    <r>
      <rPr>
        <sz val="10"/>
        <color indexed="10"/>
        <rFont val="Arial"/>
        <family val="2"/>
      </rPr>
      <t xml:space="preserve"> </t>
    </r>
    <r>
      <rPr>
        <sz val="10"/>
        <rFont val="Arial"/>
        <family val="2"/>
      </rPr>
      <t>2,80Km</t>
    </r>
    <r>
      <rPr>
        <sz val="10"/>
        <color indexed="8"/>
        <rFont val="Arial"/>
        <family val="2"/>
      </rPr>
      <t>) - Brita</t>
    </r>
  </si>
  <si>
    <t>2.1.12</t>
  </si>
  <si>
    <r>
      <t xml:space="preserve">TRANSPORTE DE AGREGADO DMT ACIMA DE 50 KM (Jazida em Coração de Jesus até a usina em Montes Claros DMT = </t>
    </r>
    <r>
      <rPr>
        <sz val="10"/>
        <rFont val="Arial"/>
        <family val="2"/>
      </rPr>
      <t>85,00Km</t>
    </r>
    <r>
      <rPr>
        <sz val="10"/>
        <color indexed="8"/>
        <rFont val="Arial"/>
        <family val="2"/>
      </rPr>
      <t>) - Areia</t>
    </r>
  </si>
  <si>
    <t>2.1.13</t>
  </si>
  <si>
    <r>
      <t xml:space="preserve">TRANSPORTE DE PMF/CBUQ PARA CONSERVAÇÃO DMT ACIMA DE 50 KM (Usina ao local da obra - DMT </t>
    </r>
    <r>
      <rPr>
        <sz val="10"/>
        <rFont val="Arial"/>
        <family val="2"/>
      </rPr>
      <t>86,00 km</t>
    </r>
    <r>
      <rPr>
        <sz val="10"/>
        <color indexed="8"/>
        <rFont val="Arial"/>
        <family val="2"/>
      </rPr>
      <t>)</t>
    </r>
  </si>
  <si>
    <t>VOLUME DO MATERIAL VEZES A DISTÂNCIA DA USINA ATÉ A OBRA -&gt;(600,66m² x 0,03m) x (86km)</t>
  </si>
  <si>
    <t>VOLUME DO MATERIAL VEZES FATOR DA AREIA VEZES A DISTÂNCIA DA JAZIDA ATÉ A USINA -&gt;(600,66m² x 0,03m) x 0,18m³/m³ x (85,00km)</t>
  </si>
  <si>
    <t>VOLUME DO MATERIAL VEZES FATOR DA AREIA VEZES A DISTÂNCIA DA JAZIDA ATÉ A USINA -&gt;(250,25m² x 0,03m) x 0,18m³/m³ x (85,00km)</t>
  </si>
  <si>
    <t>VOLUME DO MATERIAL VEZES FATOR DA BRITA VEZES A DISTÂNCIA DA JAZIDA ATÉ A USINA -&gt; (250,25m² x 0,03m) x 1,26m³/m³ x (2,80km)</t>
  </si>
  <si>
    <t>VOLUME DO MATERIAL VEZES A DISTÂNCIA DA USINA ATÉ A OBRA -&gt;(1250,25m² x 0,03m) x (86km)</t>
  </si>
  <si>
    <t>VOLUME DO MATERIAL VEZES FATOR DA BRITA VEZES A DISTÂNCIA DA JAZIDA ATÉ A USINA -&gt; (239,32m² x 0,03m) x 1,26m³/m³ x (2,80km)</t>
  </si>
  <si>
    <t>VOLUME DO MATERIAL VEZES FATOR DA AREIA VEZES A DISTÂNCIA DA JAZIDA ATÉ A USINA -&gt;(239,32m² x 0,03m) x 0,18m³/m³ x (85,00km)</t>
  </si>
  <si>
    <t>VOLUME DO MATERIAL VEZES A DISTÂNCIA DA USINA ATÉ A OBRA -&gt;(239,32m² x 0,03m) x (86km)</t>
  </si>
  <si>
    <t>AREA DE REGULARIZAÇÃO                                                                          38,6m x  7m</t>
  </si>
  <si>
    <t>AREA DE REGULARIZAÇÃO                                                              45,50m x 6,30m</t>
  </si>
  <si>
    <t xml:space="preserve">AREA DE REGULARIZAÇÃO                                                                                    ( 96,88 X 7,00m )
</t>
  </si>
  <si>
    <t>OBR-VIA-345</t>
  </si>
  <si>
    <t>TRANSPORTE DE AGREGADO DMT DE 0 A 10 KM (Mineradora até à Usina de PMF em Montes Claros - DMT = 2,80Km) - Brita</t>
  </si>
  <si>
    <t>OBR-VIA-370</t>
  </si>
  <si>
    <t>TRANSPORTE DE AGREGADO DMT ACIMA DE 50 KM (Jazida em Coração de Jesus até a usina em Montes Claros DMT = 85,00Km) - Areia</t>
  </si>
  <si>
    <t>OBR-VIA-405</t>
  </si>
  <si>
    <t>TRANSPORTE DE PMF/CBUQ PARA CONSERVAÇÃO DMT ACIMA DE 50 KM (Usina ao local da obra - DMT 86,00Km)</t>
  </si>
  <si>
    <t>VOLUME DO MATERIAL VEZES FATOR DA AREIA VEZES A DISTÂNCIA DA JAZIDA ATÉ A USINA -&gt;(210m² x 0,03m) x 0,18m³/m³ x (85,00km)</t>
  </si>
  <si>
    <t>VOLUME DO MATERIAL VEZES A DISTÂNCIA DA USINA ATÉ A OBRA -&gt;(210m² x 0,03m) x (86km)</t>
  </si>
  <si>
    <t>VOLUME DO MATERIAL VEZES FATOR DA BRITA VEZES A DISTÂNCIA DA JAZIDA ATÉ A USINA -&gt; (210m² x 0,03m) x 1,26m³/m³ x (2,80km)</t>
  </si>
  <si>
    <t>3.1.11</t>
  </si>
  <si>
    <t>3.1.12</t>
  </si>
  <si>
    <t>3.1.13</t>
  </si>
  <si>
    <t>4.1.11</t>
  </si>
  <si>
    <t>4.1.12</t>
  </si>
  <si>
    <t>4.1.13</t>
  </si>
  <si>
    <t>5.1.11</t>
  </si>
  <si>
    <t>5.1.12</t>
  </si>
  <si>
    <t>5.1.13</t>
  </si>
  <si>
    <t>VOLUME DO MATERIAL VEZES FATOR DA BRITA VEZES A DISTÂNCIA DA JAZIDA ATÉ A USINA -&gt; (600,66m² x 0,03m) x 1,26m³/m³ x (2,80km)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</si>
</sst>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&quot;R$ &quot;#,##0.00"/>
    <numFmt numFmtId="166" formatCode="#,##0.00\ ;&quot; (&quot;#,##0.00\);&quot; -&quot;#\ ;@\ "/>
  </numFmts>
  <fonts count="2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14"/>
      <color indexed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8"/>
      <color indexed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8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4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24" fillId="0" borderId="0"/>
    <xf numFmtId="0" fontId="24" fillId="0" borderId="0"/>
    <xf numFmtId="0" fontId="23" fillId="0" borderId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1" fillId="0" borderId="0" applyFill="0" applyBorder="0" applyAlignment="0" applyProtection="0"/>
    <xf numFmtId="164" fontId="11" fillId="0" borderId="0" applyFont="0" applyFill="0" applyBorder="0" applyAlignment="0" applyProtection="0"/>
    <xf numFmtId="43" fontId="24" fillId="0" borderId="0" applyFont="0" applyFill="0" applyBorder="0" applyAlignment="0" applyProtection="0"/>
  </cellStyleXfs>
  <cellXfs count="393">
    <xf numFmtId="0" fontId="0" fillId="0" borderId="0" xfId="0"/>
    <xf numFmtId="0" fontId="4" fillId="0" borderId="0" xfId="0" applyFont="1"/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0" xfId="0" applyNumberFormat="1" applyFont="1"/>
    <xf numFmtId="0" fontId="7" fillId="0" borderId="0" xfId="0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0" fontId="6" fillId="0" borderId="4" xfId="8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165" fontId="9" fillId="0" borderId="0" xfId="0" applyNumberFormat="1" applyFont="1" applyFill="1" applyBorder="1" applyAlignment="1">
      <alignment horizontal="distributed" vertical="center" wrapText="1"/>
    </xf>
    <xf numFmtId="0" fontId="10" fillId="0" borderId="0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4" fontId="4" fillId="0" borderId="0" xfId="0" applyNumberFormat="1" applyFont="1" applyBorder="1"/>
    <xf numFmtId="0" fontId="0" fillId="0" borderId="0" xfId="0" applyFill="1"/>
    <xf numFmtId="0" fontId="11" fillId="0" borderId="0" xfId="0" applyFont="1" applyFill="1"/>
    <xf numFmtId="10" fontId="11" fillId="0" borderId="0" xfId="0" applyNumberFormat="1" applyFont="1" applyFill="1"/>
    <xf numFmtId="0" fontId="9" fillId="0" borderId="0" xfId="0" applyFont="1" applyFill="1"/>
    <xf numFmtId="0" fontId="10" fillId="0" borderId="7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9" fillId="0" borderId="0" xfId="0" applyFont="1"/>
    <xf numFmtId="0" fontId="0" fillId="2" borderId="0" xfId="0" applyFill="1"/>
    <xf numFmtId="0" fontId="0" fillId="2" borderId="0" xfId="0" applyFill="1" applyBorder="1" applyAlignment="1"/>
    <xf numFmtId="0" fontId="0" fillId="2" borderId="0" xfId="0" applyFill="1" applyBorder="1" applyAlignment="1">
      <alignment wrapText="1"/>
    </xf>
    <xf numFmtId="0" fontId="0" fillId="2" borderId="0" xfId="0" applyFill="1" applyBorder="1"/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49" fontId="15" fillId="2" borderId="12" xfId="0" applyNumberFormat="1" applyFont="1" applyFill="1" applyBorder="1" applyAlignment="1">
      <alignment horizontal="center" vertical="top" wrapText="1"/>
    </xf>
    <xf numFmtId="10" fontId="15" fillId="2" borderId="12" xfId="0" applyNumberFormat="1" applyFont="1" applyFill="1" applyBorder="1" applyAlignment="1">
      <alignment vertical="top" wrapText="1"/>
    </xf>
    <xf numFmtId="10" fontId="16" fillId="2" borderId="12" xfId="10" applyNumberFormat="1" applyFont="1" applyFill="1" applyBorder="1" applyAlignment="1">
      <alignment vertical="top" wrapText="1"/>
    </xf>
    <xf numFmtId="10" fontId="16" fillId="2" borderId="12" xfId="0" applyNumberFormat="1" applyFont="1" applyFill="1" applyBorder="1" applyAlignment="1">
      <alignment vertical="top" wrapText="1"/>
    </xf>
    <xf numFmtId="10" fontId="16" fillId="2" borderId="13" xfId="0" applyNumberFormat="1" applyFont="1" applyFill="1" applyBorder="1" applyAlignment="1">
      <alignment vertical="top" wrapText="1"/>
    </xf>
    <xf numFmtId="49" fontId="15" fillId="2" borderId="14" xfId="0" applyNumberFormat="1" applyFont="1" applyFill="1" applyBorder="1" applyAlignment="1">
      <alignment horizontal="center" vertical="top" wrapText="1"/>
    </xf>
    <xf numFmtId="4" fontId="15" fillId="2" borderId="14" xfId="0" applyNumberFormat="1" applyFont="1" applyFill="1" applyBorder="1" applyAlignment="1">
      <alignment vertical="top" wrapText="1"/>
    </xf>
    <xf numFmtId="4" fontId="15" fillId="2" borderId="15" xfId="0" applyNumberFormat="1" applyFont="1" applyFill="1" applyBorder="1" applyAlignment="1">
      <alignment vertical="top" wrapText="1"/>
    </xf>
    <xf numFmtId="49" fontId="17" fillId="2" borderId="16" xfId="0" applyNumberFormat="1" applyFont="1" applyFill="1" applyBorder="1" applyAlignment="1">
      <alignment horizontal="center" vertical="top" wrapText="1"/>
    </xf>
    <xf numFmtId="10" fontId="17" fillId="2" borderId="16" xfId="0" applyNumberFormat="1" applyFont="1" applyFill="1" applyBorder="1" applyAlignment="1">
      <alignment vertical="top" wrapText="1"/>
    </xf>
    <xf numFmtId="10" fontId="17" fillId="2" borderId="17" xfId="0" applyNumberFormat="1" applyFont="1" applyFill="1" applyBorder="1" applyAlignment="1">
      <alignment vertical="top" wrapText="1"/>
    </xf>
    <xf numFmtId="49" fontId="17" fillId="2" borderId="18" xfId="0" applyNumberFormat="1" applyFont="1" applyFill="1" applyBorder="1" applyAlignment="1">
      <alignment horizontal="center" vertical="top" wrapText="1"/>
    </xf>
    <xf numFmtId="165" fontId="17" fillId="2" borderId="18" xfId="0" applyNumberFormat="1" applyFont="1" applyFill="1" applyBorder="1" applyAlignment="1">
      <alignment vertical="top" wrapText="1"/>
    </xf>
    <xf numFmtId="165" fontId="17" fillId="2" borderId="19" xfId="0" applyNumberFormat="1" applyFont="1" applyFill="1" applyBorder="1" applyAlignment="1">
      <alignment vertical="top" wrapText="1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11" fillId="2" borderId="0" xfId="0" applyFont="1" applyFill="1"/>
    <xf numFmtId="0" fontId="0" fillId="0" borderId="24" xfId="0" applyBorder="1" applyAlignment="1">
      <alignment vertical="center"/>
    </xf>
    <xf numFmtId="0" fontId="3" fillId="2" borderId="0" xfId="0" applyFont="1" applyFill="1" applyBorder="1" applyAlignment="1">
      <alignment wrapText="1"/>
    </xf>
    <xf numFmtId="0" fontId="3" fillId="2" borderId="24" xfId="0" applyFont="1" applyFill="1" applyBorder="1" applyAlignment="1">
      <alignment wrapText="1"/>
    </xf>
    <xf numFmtId="0" fontId="0" fillId="0" borderId="25" xfId="0" applyBorder="1" applyAlignment="1">
      <alignment vertical="center"/>
    </xf>
    <xf numFmtId="0" fontId="3" fillId="2" borderId="26" xfId="0" applyFont="1" applyFill="1" applyBorder="1"/>
    <xf numFmtId="0" fontId="2" fillId="0" borderId="25" xfId="0" applyFont="1" applyBorder="1" applyAlignment="1">
      <alignment vertical="center"/>
    </xf>
    <xf numFmtId="0" fontId="0" fillId="2" borderId="26" xfId="0" applyFill="1" applyBorder="1"/>
    <xf numFmtId="0" fontId="11" fillId="2" borderId="0" xfId="0" applyFont="1" applyFill="1" applyBorder="1"/>
    <xf numFmtId="0" fontId="0" fillId="2" borderId="25" xfId="0" applyFill="1" applyBorder="1"/>
    <xf numFmtId="0" fontId="18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right"/>
    </xf>
    <xf numFmtId="0" fontId="16" fillId="2" borderId="0" xfId="0" applyFont="1" applyFill="1" applyBorder="1" applyAlignment="1">
      <alignment wrapText="1"/>
    </xf>
    <xf numFmtId="0" fontId="0" fillId="2" borderId="0" xfId="0" applyFill="1" applyAlignment="1">
      <alignment wrapText="1"/>
    </xf>
    <xf numFmtId="4" fontId="15" fillId="2" borderId="14" xfId="0" applyNumberFormat="1" applyFont="1" applyFill="1" applyBorder="1" applyAlignment="1">
      <alignment horizontal="right" vertical="top" wrapText="1"/>
    </xf>
    <xf numFmtId="10" fontId="17" fillId="2" borderId="16" xfId="0" applyNumberFormat="1" applyFont="1" applyFill="1" applyBorder="1" applyAlignment="1">
      <alignment horizontal="right" vertical="top" wrapText="1"/>
    </xf>
    <xf numFmtId="165" fontId="17" fillId="2" borderId="18" xfId="0" applyNumberFormat="1" applyFont="1" applyFill="1" applyBorder="1" applyAlignment="1">
      <alignment horizontal="right" vertical="top" wrapText="1"/>
    </xf>
    <xf numFmtId="49" fontId="11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2" fontId="11" fillId="0" borderId="8" xfId="10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49" fontId="11" fillId="0" borderId="28" xfId="0" applyNumberFormat="1" applyFont="1" applyFill="1" applyBorder="1" applyAlignment="1">
      <alignment horizontal="center" vertical="center" wrapText="1"/>
    </xf>
    <xf numFmtId="4" fontId="11" fillId="0" borderId="28" xfId="0" applyNumberFormat="1" applyFont="1" applyFill="1" applyBorder="1" applyAlignment="1">
      <alignment horizontal="center" vertical="center" wrapText="1"/>
    </xf>
    <xf numFmtId="4" fontId="11" fillId="0" borderId="28" xfId="0" applyNumberFormat="1" applyFont="1" applyBorder="1" applyAlignment="1">
      <alignment horizontal="center" vertical="center" wrapText="1"/>
    </xf>
    <xf numFmtId="4" fontId="11" fillId="0" borderId="29" xfId="0" applyNumberFormat="1" applyFont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4" fontId="11" fillId="0" borderId="31" xfId="0" applyNumberFormat="1" applyFont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4" fontId="11" fillId="0" borderId="31" xfId="0" applyNumberFormat="1" applyFont="1" applyFill="1" applyBorder="1" applyAlignment="1">
      <alignment horizontal="center" vertical="center" wrapText="1"/>
    </xf>
    <xf numFmtId="0" fontId="10" fillId="0" borderId="35" xfId="0" applyFont="1" applyFill="1" applyBorder="1" applyAlignment="1">
      <alignment horizontal="center" vertical="center" wrapText="1"/>
    </xf>
    <xf numFmtId="49" fontId="10" fillId="0" borderId="28" xfId="0" applyNumberFormat="1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left" vertical="center" wrapText="1"/>
    </xf>
    <xf numFmtId="2" fontId="9" fillId="0" borderId="28" xfId="10" applyNumberFormat="1" applyFont="1" applyFill="1" applyBorder="1" applyAlignment="1">
      <alignment horizontal="center" vertical="center" wrapText="1"/>
    </xf>
    <xf numFmtId="4" fontId="9" fillId="0" borderId="28" xfId="0" applyNumberFormat="1" applyFont="1" applyFill="1" applyBorder="1" applyAlignment="1">
      <alignment horizontal="center" vertical="center" wrapText="1"/>
    </xf>
    <xf numFmtId="165" fontId="9" fillId="0" borderId="29" xfId="0" applyNumberFormat="1" applyFont="1" applyFill="1" applyBorder="1" applyAlignment="1">
      <alignment horizontal="distributed" vertical="center" wrapText="1"/>
    </xf>
    <xf numFmtId="0" fontId="9" fillId="0" borderId="32" xfId="0" applyFont="1" applyFill="1" applyBorder="1" applyAlignment="1">
      <alignment horizontal="center" vertical="center" wrapText="1"/>
    </xf>
    <xf numFmtId="49" fontId="11" fillId="0" borderId="33" xfId="0" applyNumberFormat="1" applyFont="1" applyFill="1" applyBorder="1" applyAlignment="1">
      <alignment horizontal="center" vertical="center" wrapText="1"/>
    </xf>
    <xf numFmtId="4" fontId="11" fillId="0" borderId="34" xfId="0" applyNumberFormat="1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left" vertical="center" wrapText="1"/>
    </xf>
    <xf numFmtId="2" fontId="11" fillId="0" borderId="28" xfId="10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3" fillId="0" borderId="31" xfId="0" applyNumberFormat="1" applyFont="1" applyFill="1" applyBorder="1" applyAlignment="1">
      <alignment horizontal="center" vertical="center" wrapText="1"/>
    </xf>
    <xf numFmtId="0" fontId="11" fillId="0" borderId="8" xfId="0" applyFont="1" applyBorder="1"/>
    <xf numFmtId="0" fontId="11" fillId="0" borderId="33" xfId="0" applyFont="1" applyFill="1" applyBorder="1" applyAlignment="1">
      <alignment horizontal="center" vertical="center" wrapText="1"/>
    </xf>
    <xf numFmtId="4" fontId="3" fillId="0" borderId="34" xfId="0" applyNumberFormat="1" applyFont="1" applyFill="1" applyBorder="1" applyAlignment="1">
      <alignment horizontal="center" vertical="center" wrapText="1"/>
    </xf>
    <xf numFmtId="165" fontId="11" fillId="0" borderId="31" xfId="0" applyNumberFormat="1" applyFont="1" applyFill="1" applyBorder="1" applyAlignment="1">
      <alignment horizontal="distributed" vertical="center" wrapText="1"/>
    </xf>
    <xf numFmtId="0" fontId="9" fillId="0" borderId="3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9" fillId="0" borderId="32" xfId="0" applyFont="1" applyBorder="1" applyAlignment="1">
      <alignment horizontal="center" vertical="center" wrapText="1"/>
    </xf>
    <xf numFmtId="4" fontId="15" fillId="2" borderId="36" xfId="0" applyNumberFormat="1" applyFont="1" applyFill="1" applyBorder="1" applyAlignment="1">
      <alignment horizontal="right" vertical="top" wrapText="1"/>
    </xf>
    <xf numFmtId="4" fontId="16" fillId="0" borderId="37" xfId="0" applyNumberFormat="1" applyFont="1" applyFill="1" applyBorder="1" applyAlignment="1">
      <alignment horizontal="right" vertical="center" wrapText="1"/>
    </xf>
    <xf numFmtId="4" fontId="15" fillId="2" borderId="37" xfId="0" applyNumberFormat="1" applyFont="1" applyFill="1" applyBorder="1" applyAlignment="1">
      <alignment horizontal="right" vertical="top" wrapText="1"/>
    </xf>
    <xf numFmtId="10" fontId="14" fillId="2" borderId="12" xfId="0" applyNumberFormat="1" applyFont="1" applyFill="1" applyBorder="1" applyAlignment="1">
      <alignment vertical="top" wrapText="1"/>
    </xf>
    <xf numFmtId="10" fontId="0" fillId="2" borderId="0" xfId="0" applyNumberFormat="1" applyFill="1"/>
    <xf numFmtId="0" fontId="18" fillId="0" borderId="38" xfId="0" applyFont="1" applyBorder="1" applyAlignment="1">
      <alignment horizontal="center" vertical="center" wrapText="1"/>
    </xf>
    <xf numFmtId="0" fontId="18" fillId="0" borderId="39" xfId="0" applyFont="1" applyBorder="1" applyAlignment="1">
      <alignment horizontal="center" vertical="center" wrapText="1"/>
    </xf>
    <xf numFmtId="0" fontId="15" fillId="0" borderId="0" xfId="0" applyFont="1"/>
    <xf numFmtId="0" fontId="0" fillId="0" borderId="20" xfId="0" applyFill="1" applyBorder="1"/>
    <xf numFmtId="0" fontId="20" fillId="0" borderId="21" xfId="0" applyFont="1" applyFill="1" applyBorder="1" applyAlignment="1">
      <alignment horizontal="center" vertical="center"/>
    </xf>
    <xf numFmtId="4" fontId="20" fillId="0" borderId="22" xfId="0" applyNumberFormat="1" applyFont="1" applyFill="1" applyBorder="1" applyAlignment="1">
      <alignment horizontal="center" vertical="center"/>
    </xf>
    <xf numFmtId="0" fontId="21" fillId="0" borderId="23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0" fillId="0" borderId="0" xfId="0" applyFill="1" applyBorder="1"/>
    <xf numFmtId="4" fontId="0" fillId="0" borderId="27" xfId="0" applyNumberFormat="1" applyFill="1" applyBorder="1" applyAlignment="1">
      <alignment horizontal="center"/>
    </xf>
    <xf numFmtId="4" fontId="10" fillId="0" borderId="27" xfId="0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49" fontId="15" fillId="0" borderId="43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2" fontId="9" fillId="0" borderId="5" xfId="10" applyNumberFormat="1" applyFont="1" applyFill="1" applyBorder="1" applyAlignment="1">
      <alignment horizontal="center" vertical="center" wrapText="1"/>
    </xf>
    <xf numFmtId="4" fontId="9" fillId="0" borderId="44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vertical="center" wrapText="1"/>
    </xf>
    <xf numFmtId="4" fontId="9" fillId="0" borderId="0" xfId="0" applyNumberFormat="1" applyFont="1" applyFill="1" applyBorder="1" applyAlignment="1">
      <alignment horizontal="center" vertical="center" wrapText="1"/>
    </xf>
    <xf numFmtId="49" fontId="15" fillId="0" borderId="45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49" fontId="17" fillId="0" borderId="45" xfId="0" applyNumberFormat="1" applyFont="1" applyFill="1" applyBorder="1" applyAlignment="1">
      <alignment horizontal="center" vertical="center" wrapText="1"/>
    </xf>
    <xf numFmtId="0" fontId="10" fillId="0" borderId="46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4" fontId="3" fillId="0" borderId="0" xfId="0" applyNumberFormat="1" applyFont="1" applyFill="1"/>
    <xf numFmtId="0" fontId="9" fillId="0" borderId="47" xfId="0" applyFont="1" applyFill="1" applyBorder="1" applyAlignment="1">
      <alignment horizontal="center" vertical="center" wrapText="1"/>
    </xf>
    <xf numFmtId="4" fontId="9" fillId="0" borderId="48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Border="1"/>
    <xf numFmtId="4" fontId="0" fillId="0" borderId="0" xfId="0" applyNumberFormat="1" applyFill="1"/>
    <xf numFmtId="4" fontId="3" fillId="0" borderId="0" xfId="0" applyNumberFormat="1" applyFont="1" applyFill="1" applyBorder="1"/>
    <xf numFmtId="0" fontId="3" fillId="0" borderId="0" xfId="0" applyFont="1" applyFill="1" applyBorder="1"/>
    <xf numFmtId="2" fontId="9" fillId="0" borderId="49" xfId="10" applyNumberFormat="1" applyFont="1" applyFill="1" applyBorder="1" applyAlignment="1">
      <alignment horizontal="center" vertical="center" wrapText="1"/>
    </xf>
    <xf numFmtId="4" fontId="9" fillId="0" borderId="50" xfId="0" applyNumberFormat="1" applyFont="1" applyFill="1" applyBorder="1" applyAlignment="1">
      <alignment horizontal="center" vertical="center" wrapText="1"/>
    </xf>
    <xf numFmtId="0" fontId="15" fillId="0" borderId="45" xfId="0" applyFont="1" applyFill="1" applyBorder="1" applyAlignment="1">
      <alignment horizontal="center" vertical="center" wrapText="1"/>
    </xf>
    <xf numFmtId="2" fontId="9" fillId="0" borderId="5" xfId="12" applyNumberFormat="1" applyFont="1" applyFill="1" applyBorder="1" applyAlignment="1">
      <alignment horizontal="center" vertical="center" wrapText="1"/>
    </xf>
    <xf numFmtId="2" fontId="9" fillId="0" borderId="49" xfId="12" applyNumberFormat="1" applyFont="1" applyFill="1" applyBorder="1" applyAlignment="1">
      <alignment horizontal="center" vertical="center" wrapText="1"/>
    </xf>
    <xf numFmtId="0" fontId="15" fillId="0" borderId="51" xfId="0" applyFont="1" applyFill="1" applyBorder="1" applyAlignment="1">
      <alignment horizontal="center" vertical="center" wrapText="1"/>
    </xf>
    <xf numFmtId="4" fontId="0" fillId="0" borderId="0" xfId="0" applyNumberFormat="1" applyFill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4" fontId="9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/>
    <xf numFmtId="4" fontId="9" fillId="0" borderId="0" xfId="0" applyNumberFormat="1" applyFont="1" applyFill="1" applyBorder="1" applyAlignment="1">
      <alignment horizontal="center"/>
    </xf>
    <xf numFmtId="4" fontId="9" fillId="0" borderId="0" xfId="0" applyNumberFormat="1" applyFont="1" applyFill="1" applyAlignment="1">
      <alignment horizontal="center"/>
    </xf>
    <xf numFmtId="0" fontId="11" fillId="0" borderId="0" xfId="2"/>
    <xf numFmtId="1" fontId="3" fillId="0" borderId="52" xfId="7" applyNumberFormat="1" applyFont="1" applyBorder="1" applyAlignment="1">
      <alignment horizontal="center" vertical="center"/>
    </xf>
    <xf numFmtId="0" fontId="10" fillId="0" borderId="0" xfId="2" applyFont="1"/>
    <xf numFmtId="1" fontId="11" fillId="0" borderId="53" xfId="2" applyNumberFormat="1" applyFont="1" applyFill="1" applyBorder="1" applyAlignment="1">
      <alignment horizontal="center" vertical="center"/>
    </xf>
    <xf numFmtId="2" fontId="3" fillId="0" borderId="5" xfId="2" applyNumberFormat="1" applyFont="1" applyBorder="1" applyAlignment="1">
      <alignment horizontal="center"/>
    </xf>
    <xf numFmtId="2" fontId="11" fillId="0" borderId="5" xfId="2" applyNumberFormat="1" applyFont="1" applyBorder="1" applyAlignment="1">
      <alignment horizontal="center"/>
    </xf>
    <xf numFmtId="0" fontId="11" fillId="0" borderId="5" xfId="2" applyFont="1" applyBorder="1" applyAlignment="1">
      <alignment horizontal="center"/>
    </xf>
    <xf numFmtId="0" fontId="11" fillId="0" borderId="53" xfId="2" applyFont="1" applyFill="1" applyBorder="1" applyAlignment="1">
      <alignment vertical="center"/>
    </xf>
    <xf numFmtId="0" fontId="3" fillId="0" borderId="53" xfId="2" applyFont="1" applyFill="1" applyBorder="1" applyAlignment="1">
      <alignment horizontal="centerContinuous" vertical="center"/>
    </xf>
    <xf numFmtId="0" fontId="25" fillId="0" borderId="54" xfId="2" applyFont="1" applyBorder="1"/>
    <xf numFmtId="0" fontId="22" fillId="0" borderId="0" xfId="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center" vertical="center"/>
    </xf>
    <xf numFmtId="0" fontId="22" fillId="0" borderId="0" xfId="2" applyFont="1" applyFill="1" applyBorder="1" applyAlignment="1">
      <alignment vertical="center"/>
    </xf>
    <xf numFmtId="0" fontId="10" fillId="0" borderId="0" xfId="2" applyFont="1" applyFill="1" applyBorder="1" applyAlignment="1">
      <alignment vertical="center"/>
    </xf>
    <xf numFmtId="0" fontId="11" fillId="0" borderId="0" xfId="2" applyFont="1"/>
    <xf numFmtId="0" fontId="9" fillId="0" borderId="0" xfId="2" applyFont="1" applyFill="1" applyBorder="1" applyAlignment="1"/>
    <xf numFmtId="0" fontId="17" fillId="0" borderId="0" xfId="2" applyFont="1" applyFill="1" applyBorder="1" applyAlignment="1">
      <alignment vertical="center"/>
    </xf>
    <xf numFmtId="0" fontId="15" fillId="0" borderId="0" xfId="2" applyFont="1" applyFill="1" applyBorder="1" applyAlignment="1">
      <alignment vertical="center"/>
    </xf>
    <xf numFmtId="0" fontId="9" fillId="0" borderId="0" xfId="2" applyFont="1" applyFill="1" applyBorder="1" applyAlignment="1">
      <alignment vertical="center"/>
    </xf>
    <xf numFmtId="0" fontId="1" fillId="0" borderId="8" xfId="0" applyFont="1" applyFill="1" applyBorder="1" applyAlignment="1">
      <alignment horizontal="left" vertical="center" wrapText="1"/>
    </xf>
    <xf numFmtId="0" fontId="4" fillId="0" borderId="46" xfId="0" applyFont="1" applyFill="1" applyBorder="1" applyAlignment="1">
      <alignment horizontal="left" vertical="center" wrapText="1"/>
    </xf>
    <xf numFmtId="2" fontId="4" fillId="0" borderId="5" xfId="1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2" fontId="4" fillId="0" borderId="5" xfId="12" applyNumberFormat="1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4" fontId="4" fillId="0" borderId="0" xfId="0" applyNumberFormat="1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0" fillId="2" borderId="26" xfId="0" applyFill="1" applyBorder="1" applyAlignment="1"/>
    <xf numFmtId="0" fontId="0" fillId="2" borderId="25" xfId="0" applyFill="1" applyBorder="1" applyAlignment="1"/>
    <xf numFmtId="0" fontId="3" fillId="2" borderId="58" xfId="0" applyFont="1" applyFill="1" applyBorder="1" applyAlignment="1">
      <alignment wrapText="1"/>
    </xf>
    <xf numFmtId="0" fontId="3" fillId="2" borderId="56" xfId="0" applyFont="1" applyFill="1" applyBorder="1" applyAlignment="1">
      <alignment wrapText="1"/>
    </xf>
    <xf numFmtId="0" fontId="3" fillId="2" borderId="57" xfId="0" applyFont="1" applyFill="1" applyBorder="1" applyAlignment="1">
      <alignment wrapText="1"/>
    </xf>
    <xf numFmtId="0" fontId="0" fillId="2" borderId="58" xfId="0" applyFill="1" applyBorder="1"/>
    <xf numFmtId="0" fontId="0" fillId="2" borderId="56" xfId="0" applyFill="1" applyBorder="1"/>
    <xf numFmtId="0" fontId="0" fillId="2" borderId="57" xfId="0" applyFill="1" applyBorder="1"/>
    <xf numFmtId="0" fontId="3" fillId="2" borderId="26" xfId="0" applyFont="1" applyFill="1" applyBorder="1" applyAlignment="1">
      <alignment wrapText="1"/>
    </xf>
    <xf numFmtId="0" fontId="16" fillId="2" borderId="25" xfId="0" applyFont="1" applyFill="1" applyBorder="1"/>
    <xf numFmtId="0" fontId="11" fillId="2" borderId="26" xfId="0" applyFont="1" applyFill="1" applyBorder="1"/>
    <xf numFmtId="0" fontId="18" fillId="2" borderId="26" xfId="0" applyFont="1" applyFill="1" applyBorder="1"/>
    <xf numFmtId="0" fontId="16" fillId="2" borderId="26" xfId="0" applyFont="1" applyFill="1" applyBorder="1"/>
    <xf numFmtId="0" fontId="0" fillId="2" borderId="76" xfId="0" applyFill="1" applyBorder="1"/>
    <xf numFmtId="0" fontId="0" fillId="2" borderId="24" xfId="0" applyFill="1" applyBorder="1"/>
    <xf numFmtId="0" fontId="0" fillId="2" borderId="24" xfId="0" applyFill="1" applyBorder="1" applyAlignment="1">
      <alignment wrapText="1"/>
    </xf>
    <xf numFmtId="0" fontId="0" fillId="2" borderId="75" xfId="0" applyFill="1" applyBorder="1"/>
    <xf numFmtId="2" fontId="1" fillId="0" borderId="8" xfId="10" applyNumberFormat="1" applyFont="1" applyFill="1" applyBorder="1" applyAlignment="1">
      <alignment horizontal="center" vertical="center" wrapText="1"/>
    </xf>
    <xf numFmtId="0" fontId="0" fillId="0" borderId="23" xfId="0" applyFill="1" applyBorder="1"/>
    <xf numFmtId="49" fontId="10" fillId="0" borderId="51" xfId="0" applyNumberFormat="1" applyFont="1" applyFill="1" applyBorder="1" applyAlignment="1">
      <alignment horizontal="center" vertical="center" wrapText="1"/>
    </xf>
    <xf numFmtId="0" fontId="10" fillId="0" borderId="49" xfId="0" applyFont="1" applyFill="1" applyBorder="1" applyAlignment="1">
      <alignment horizontal="left" vertical="center" wrapText="1"/>
    </xf>
    <xf numFmtId="4" fontId="10" fillId="0" borderId="5" xfId="0" applyNumberFormat="1" applyFont="1" applyFill="1" applyBorder="1" applyAlignment="1">
      <alignment horizontal="center" vertical="center"/>
    </xf>
    <xf numFmtId="0" fontId="11" fillId="0" borderId="47" xfId="0" applyFont="1" applyFill="1" applyBorder="1"/>
    <xf numFmtId="4" fontId="0" fillId="0" borderId="77" xfId="0" applyNumberFormat="1" applyFill="1" applyBorder="1"/>
    <xf numFmtId="0" fontId="0" fillId="0" borderId="49" xfId="0" applyFill="1" applyBorder="1"/>
    <xf numFmtId="0" fontId="0" fillId="0" borderId="77" xfId="0" applyFill="1" applyBorder="1"/>
    <xf numFmtId="0" fontId="0" fillId="0" borderId="47" xfId="0" applyFill="1" applyBorder="1"/>
    <xf numFmtId="0" fontId="3" fillId="0" borderId="49" xfId="0" applyFont="1" applyFill="1" applyBorder="1"/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/>
    </xf>
    <xf numFmtId="0" fontId="3" fillId="2" borderId="46" xfId="0" applyFont="1" applyFill="1" applyBorder="1" applyAlignment="1">
      <alignment vertical="center"/>
    </xf>
    <xf numFmtId="165" fontId="3" fillId="2" borderId="7" xfId="0" applyNumberFormat="1" applyFont="1" applyFill="1" applyBorder="1" applyAlignment="1">
      <alignment horizontal="left" vertical="center"/>
    </xf>
    <xf numFmtId="4" fontId="4" fillId="0" borderId="44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78" xfId="0" applyFont="1" applyFill="1" applyBorder="1" applyAlignment="1">
      <alignment horizontal="center" vertical="center" wrapText="1"/>
    </xf>
    <xf numFmtId="0" fontId="1" fillId="0" borderId="79" xfId="0" applyFont="1" applyFill="1" applyBorder="1" applyAlignment="1">
      <alignment horizontal="center" vertical="center" wrapText="1"/>
    </xf>
    <xf numFmtId="0" fontId="1" fillId="0" borderId="79" xfId="0" applyFont="1" applyBorder="1" applyAlignment="1">
      <alignment horizontal="left" vertical="center" wrapText="1"/>
    </xf>
    <xf numFmtId="2" fontId="11" fillId="0" borderId="79" xfId="10" applyNumberFormat="1" applyFont="1" applyFill="1" applyBorder="1" applyAlignment="1">
      <alignment horizontal="center" vertical="center" wrapText="1"/>
    </xf>
    <xf numFmtId="4" fontId="11" fillId="0" borderId="79" xfId="0" applyNumberFormat="1" applyFont="1" applyBorder="1" applyAlignment="1">
      <alignment horizontal="center" vertical="center" wrapText="1"/>
    </xf>
    <xf numFmtId="4" fontId="1" fillId="0" borderId="79" xfId="0" applyNumberFormat="1" applyFont="1" applyBorder="1" applyAlignment="1">
      <alignment horizontal="center" vertical="center" wrapText="1"/>
    </xf>
    <xf numFmtId="4" fontId="11" fillId="0" borderId="80" xfId="0" applyNumberFormat="1" applyFont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2" fontId="4" fillId="0" borderId="8" xfId="1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4" fontId="11" fillId="0" borderId="79" xfId="0" applyNumberFormat="1" applyFont="1" applyFill="1" applyBorder="1" applyAlignment="1">
      <alignment horizontal="center" vertical="center" wrapText="1"/>
    </xf>
    <xf numFmtId="4" fontId="4" fillId="0" borderId="31" xfId="0" applyNumberFormat="1" applyFont="1" applyFill="1" applyBorder="1" applyAlignment="1">
      <alignment horizontal="distributed" vertical="center" wrapText="1"/>
    </xf>
    <xf numFmtId="2" fontId="11" fillId="0" borderId="81" xfId="10" applyNumberFormat="1" applyFont="1" applyFill="1" applyBorder="1" applyAlignment="1">
      <alignment horizontal="center" vertical="center" wrapText="1"/>
    </xf>
    <xf numFmtId="4" fontId="11" fillId="0" borderId="81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57" xfId="0" applyFont="1" applyFill="1" applyBorder="1" applyAlignment="1">
      <alignment horizontal="left" vertical="center"/>
    </xf>
    <xf numFmtId="0" fontId="6" fillId="0" borderId="55" xfId="0" applyFont="1" applyFill="1" applyBorder="1" applyAlignment="1">
      <alignment horizontal="left" vertical="center"/>
    </xf>
    <xf numFmtId="0" fontId="6" fillId="0" borderId="58" xfId="0" applyFont="1" applyFill="1" applyBorder="1" applyAlignment="1">
      <alignment horizontal="center" vertical="center"/>
    </xf>
    <xf numFmtId="0" fontId="6" fillId="0" borderId="59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/>
    </xf>
    <xf numFmtId="0" fontId="6" fillId="0" borderId="60" xfId="0" applyFont="1" applyFill="1" applyBorder="1" applyAlignment="1">
      <alignment horizontal="left" vertical="center"/>
    </xf>
    <xf numFmtId="0" fontId="6" fillId="0" borderId="44" xfId="0" applyFont="1" applyFill="1" applyBorder="1" applyAlignment="1">
      <alignment horizontal="left" vertical="center"/>
    </xf>
    <xf numFmtId="0" fontId="10" fillId="0" borderId="42" xfId="0" applyFont="1" applyFill="1" applyBorder="1" applyAlignment="1">
      <alignment horizontal="left" vertical="top"/>
    </xf>
    <xf numFmtId="0" fontId="6" fillId="0" borderId="61" xfId="0" applyFont="1" applyFill="1" applyBorder="1" applyAlignment="1">
      <alignment horizontal="left" vertical="top"/>
    </xf>
    <xf numFmtId="0" fontId="6" fillId="0" borderId="62" xfId="0" applyFont="1" applyFill="1" applyBorder="1" applyAlignment="1">
      <alignment horizontal="left" vertical="top"/>
    </xf>
    <xf numFmtId="0" fontId="6" fillId="0" borderId="43" xfId="0" applyFont="1" applyFill="1" applyBorder="1" applyAlignment="1">
      <alignment horizontal="left" vertical="top"/>
    </xf>
    <xf numFmtId="0" fontId="6" fillId="0" borderId="7" xfId="0" applyFont="1" applyFill="1" applyBorder="1" applyAlignment="1">
      <alignment horizontal="left" vertical="top"/>
    </xf>
    <xf numFmtId="0" fontId="6" fillId="0" borderId="46" xfId="0" applyFont="1" applyFill="1" applyBorder="1" applyAlignment="1">
      <alignment horizontal="left" vertical="top"/>
    </xf>
    <xf numFmtId="0" fontId="6" fillId="0" borderId="4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46" xfId="0" applyFont="1" applyFill="1" applyBorder="1" applyAlignment="1">
      <alignment horizontal="left" vertical="center"/>
    </xf>
    <xf numFmtId="0" fontId="6" fillId="0" borderId="40" xfId="0" applyFont="1" applyFill="1" applyBorder="1" applyAlignment="1">
      <alignment horizontal="left" vertical="center" wrapText="1"/>
    </xf>
    <xf numFmtId="0" fontId="6" fillId="0" borderId="41" xfId="0" applyFont="1" applyFill="1" applyBorder="1" applyAlignment="1">
      <alignment horizontal="left" vertical="center" wrapText="1"/>
    </xf>
    <xf numFmtId="0" fontId="6" fillId="0" borderId="55" xfId="0" applyFont="1" applyFill="1" applyBorder="1" applyAlignment="1">
      <alignment horizontal="left" vertical="center" wrapText="1"/>
    </xf>
    <xf numFmtId="0" fontId="6" fillId="0" borderId="4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46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right" vertical="center" wrapText="1"/>
    </xf>
    <xf numFmtId="0" fontId="3" fillId="0" borderId="82" xfId="0" applyFont="1" applyFill="1" applyBorder="1" applyAlignment="1">
      <alignment horizontal="right" vertical="center" wrapText="1"/>
    </xf>
    <xf numFmtId="0" fontId="3" fillId="0" borderId="33" xfId="0" applyFont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5" fillId="0" borderId="5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10" fillId="0" borderId="5" xfId="0" applyFont="1" applyBorder="1" applyAlignment="1">
      <alignment horizontal="right" vertical="center" wrapText="1"/>
    </xf>
    <xf numFmtId="0" fontId="4" fillId="0" borderId="41" xfId="0" applyFont="1" applyFill="1" applyBorder="1" applyAlignment="1">
      <alignment horizontal="center"/>
    </xf>
    <xf numFmtId="0" fontId="6" fillId="0" borderId="60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left" vertical="center"/>
    </xf>
    <xf numFmtId="0" fontId="6" fillId="0" borderId="63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4" fillId="3" borderId="60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9" fillId="0" borderId="7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72" xfId="0" applyFont="1" applyFill="1" applyBorder="1" applyAlignment="1">
      <alignment horizontal="center" vertical="center"/>
    </xf>
    <xf numFmtId="0" fontId="20" fillId="0" borderId="59" xfId="0" applyFont="1" applyFill="1" applyBorder="1" applyAlignment="1">
      <alignment horizontal="center" vertical="center"/>
    </xf>
    <xf numFmtId="0" fontId="20" fillId="0" borderId="41" xfId="0" applyFont="1" applyFill="1" applyBorder="1" applyAlignment="1">
      <alignment horizontal="center" vertical="center"/>
    </xf>
    <xf numFmtId="0" fontId="20" fillId="0" borderId="55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27" xfId="0" applyFont="1" applyFill="1" applyBorder="1" applyAlignment="1">
      <alignment horizontal="left" vertical="center" wrapText="1"/>
    </xf>
    <xf numFmtId="0" fontId="21" fillId="0" borderId="23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8" fillId="0" borderId="69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/>
    </xf>
    <xf numFmtId="0" fontId="12" fillId="0" borderId="58" xfId="0" applyFont="1" applyFill="1" applyBorder="1" applyAlignment="1">
      <alignment horizontal="center" vertical="center" wrapText="1"/>
    </xf>
    <xf numFmtId="0" fontId="12" fillId="0" borderId="56" xfId="0" applyFont="1" applyFill="1" applyBorder="1" applyAlignment="1">
      <alignment horizontal="center" vertical="center" wrapText="1"/>
    </xf>
    <xf numFmtId="0" fontId="12" fillId="0" borderId="57" xfId="0" applyFont="1" applyFill="1" applyBorder="1" applyAlignment="1">
      <alignment horizontal="center" vertical="center" wrapText="1"/>
    </xf>
    <xf numFmtId="0" fontId="3" fillId="2" borderId="70" xfId="0" applyFont="1" applyFill="1" applyBorder="1" applyAlignment="1">
      <alignment horizontal="center" vertical="center" wrapText="1"/>
    </xf>
    <xf numFmtId="0" fontId="3" fillId="2" borderId="56" xfId="0" applyFont="1" applyFill="1" applyBorder="1" applyAlignment="1">
      <alignment horizontal="center" vertical="center" wrapText="1"/>
    </xf>
    <xf numFmtId="0" fontId="3" fillId="2" borderId="57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 wrapText="1"/>
    </xf>
    <xf numFmtId="0" fontId="3" fillId="2" borderId="55" xfId="0" applyFont="1" applyFill="1" applyBorder="1" applyAlignment="1">
      <alignment horizontal="center" vertical="center" wrapText="1"/>
    </xf>
    <xf numFmtId="0" fontId="11" fillId="2" borderId="39" xfId="0" applyFont="1" applyFill="1" applyBorder="1" applyAlignment="1">
      <alignment horizontal="center" vertical="top" wrapText="1"/>
    </xf>
    <xf numFmtId="49" fontId="18" fillId="0" borderId="14" xfId="0" applyNumberFormat="1" applyFont="1" applyBorder="1" applyAlignment="1">
      <alignment horizontal="center" vertical="center" wrapText="1"/>
    </xf>
    <xf numFmtId="49" fontId="18" fillId="0" borderId="67" xfId="0" applyNumberFormat="1" applyFont="1" applyBorder="1" applyAlignment="1">
      <alignment horizontal="center" vertical="center" wrapText="1"/>
    </xf>
    <xf numFmtId="0" fontId="18" fillId="0" borderId="68" xfId="0" applyFont="1" applyBorder="1" applyAlignment="1">
      <alignment horizontal="left" vertical="center" wrapText="1"/>
    </xf>
    <xf numFmtId="0" fontId="3" fillId="2" borderId="6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65" xfId="0" applyFont="1" applyFill="1" applyBorder="1" applyAlignment="1">
      <alignment horizontal="left" vertical="center"/>
    </xf>
    <xf numFmtId="0" fontId="3" fillId="2" borderId="66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13" fillId="2" borderId="26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3" fillId="2" borderId="49" xfId="0" applyFont="1" applyFill="1" applyBorder="1" applyAlignment="1">
      <alignment horizontal="center" vertical="center"/>
    </xf>
    <xf numFmtId="0" fontId="3" fillId="2" borderId="51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3" fillId="2" borderId="75" xfId="0" applyFont="1" applyFill="1" applyBorder="1" applyAlignment="1">
      <alignment horizontal="left" vertical="center"/>
    </xf>
    <xf numFmtId="0" fontId="3" fillId="2" borderId="49" xfId="0" applyFont="1" applyFill="1" applyBorder="1" applyAlignment="1">
      <alignment horizontal="left" vertical="center"/>
    </xf>
    <xf numFmtId="0" fontId="3" fillId="2" borderId="50" xfId="0" applyFont="1" applyFill="1" applyBorder="1" applyAlignment="1">
      <alignment horizontal="left" vertical="center"/>
    </xf>
    <xf numFmtId="0" fontId="3" fillId="2" borderId="60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right" vertical="center"/>
    </xf>
    <xf numFmtId="0" fontId="3" fillId="0" borderId="46" xfId="2" applyFont="1" applyBorder="1" applyAlignment="1">
      <alignment horizontal="center"/>
    </xf>
    <xf numFmtId="0" fontId="3" fillId="0" borderId="5" xfId="2" applyFont="1" applyBorder="1" applyAlignment="1">
      <alignment horizontal="center"/>
    </xf>
    <xf numFmtId="2" fontId="3" fillId="0" borderId="5" xfId="2" applyNumberFormat="1" applyFont="1" applyBorder="1" applyAlignment="1">
      <alignment horizontal="center"/>
    </xf>
    <xf numFmtId="2" fontId="3" fillId="0" borderId="44" xfId="2" applyNumberFormat="1" applyFont="1" applyBorder="1" applyAlignment="1">
      <alignment horizontal="center"/>
    </xf>
    <xf numFmtId="1" fontId="13" fillId="0" borderId="71" xfId="7" applyNumberFormat="1" applyFont="1" applyFill="1" applyBorder="1" applyAlignment="1">
      <alignment horizontal="center" vertical="center" wrapText="1"/>
    </xf>
    <xf numFmtId="1" fontId="13" fillId="0" borderId="1" xfId="7" applyNumberFormat="1" applyFont="1" applyFill="1" applyBorder="1" applyAlignment="1">
      <alignment horizontal="center" vertical="center" wrapText="1"/>
    </xf>
    <xf numFmtId="1" fontId="13" fillId="0" borderId="72" xfId="7" applyNumberFormat="1" applyFont="1" applyFill="1" applyBorder="1" applyAlignment="1">
      <alignment horizontal="center" vertical="center" wrapText="1"/>
    </xf>
    <xf numFmtId="1" fontId="3" fillId="0" borderId="71" xfId="7" applyNumberFormat="1" applyFont="1" applyBorder="1" applyAlignment="1">
      <alignment horizontal="center" vertical="center" wrapText="1"/>
    </xf>
    <xf numFmtId="1" fontId="3" fillId="0" borderId="1" xfId="7" applyNumberFormat="1" applyFont="1" applyBorder="1" applyAlignment="1">
      <alignment horizontal="center" vertical="center" wrapText="1"/>
    </xf>
    <xf numFmtId="1" fontId="3" fillId="0" borderId="72" xfId="7" applyNumberFormat="1" applyFont="1" applyBorder="1" applyAlignment="1">
      <alignment horizontal="center" vertical="center" wrapText="1"/>
    </xf>
    <xf numFmtId="1" fontId="3" fillId="0" borderId="21" xfId="7" applyNumberFormat="1" applyFont="1" applyBorder="1" applyAlignment="1">
      <alignment horizontal="center" vertical="center"/>
    </xf>
    <xf numFmtId="1" fontId="3" fillId="0" borderId="22" xfId="7" applyNumberFormat="1" applyFont="1" applyBorder="1" applyAlignment="1">
      <alignment horizontal="center" vertical="center"/>
    </xf>
    <xf numFmtId="0" fontId="3" fillId="0" borderId="43" xfId="2" applyFont="1" applyBorder="1" applyAlignment="1">
      <alignment horizontal="center"/>
    </xf>
    <xf numFmtId="0" fontId="3" fillId="0" borderId="7" xfId="2" applyFont="1" applyBorder="1" applyAlignment="1">
      <alignment horizontal="center"/>
    </xf>
    <xf numFmtId="0" fontId="3" fillId="0" borderId="2" xfId="2" applyFont="1" applyBorder="1" applyAlignment="1">
      <alignment horizontal="center"/>
    </xf>
    <xf numFmtId="0" fontId="3" fillId="0" borderId="43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11" fillId="0" borderId="46" xfId="2" applyFont="1" applyBorder="1" applyAlignment="1">
      <alignment horizontal="center"/>
    </xf>
    <xf numFmtId="0" fontId="11" fillId="0" borderId="5" xfId="2" applyFont="1" applyBorder="1" applyAlignment="1">
      <alignment horizontal="center"/>
    </xf>
    <xf numFmtId="10" fontId="11" fillId="0" borderId="5" xfId="9" applyNumberFormat="1" applyFont="1" applyBorder="1" applyAlignment="1">
      <alignment horizontal="center"/>
    </xf>
    <xf numFmtId="10" fontId="11" fillId="0" borderId="44" xfId="9" applyNumberFormat="1" applyFont="1" applyBorder="1" applyAlignment="1">
      <alignment horizontal="center"/>
    </xf>
    <xf numFmtId="0" fontId="11" fillId="0" borderId="46" xfId="2" applyFont="1" applyBorder="1" applyAlignment="1">
      <alignment horizontal="right"/>
    </xf>
    <xf numFmtId="0" fontId="11" fillId="0" borderId="5" xfId="2" applyFont="1" applyBorder="1" applyAlignment="1">
      <alignment horizontal="right"/>
    </xf>
    <xf numFmtId="0" fontId="3" fillId="0" borderId="65" xfId="2" applyFont="1" applyBorder="1" applyAlignment="1">
      <alignment horizontal="center" vertical="center"/>
    </xf>
    <xf numFmtId="0" fontId="3" fillId="0" borderId="73" xfId="2" applyFont="1" applyBorder="1" applyAlignment="1">
      <alignment horizontal="center" vertical="center"/>
    </xf>
    <xf numFmtId="10" fontId="3" fillId="0" borderId="73" xfId="9" applyNumberFormat="1" applyFont="1" applyBorder="1" applyAlignment="1">
      <alignment horizontal="center" vertical="center"/>
    </xf>
    <xf numFmtId="10" fontId="3" fillId="0" borderId="74" xfId="9" applyNumberFormat="1" applyFont="1" applyBorder="1" applyAlignment="1">
      <alignment horizontal="center" vertical="center"/>
    </xf>
    <xf numFmtId="10" fontId="11" fillId="0" borderId="5" xfId="2" applyNumberFormat="1" applyFont="1" applyBorder="1" applyAlignment="1">
      <alignment horizontal="center"/>
    </xf>
    <xf numFmtId="10" fontId="11" fillId="0" borderId="44" xfId="2" applyNumberFormat="1" applyFont="1" applyBorder="1" applyAlignment="1">
      <alignment horizontal="center"/>
    </xf>
    <xf numFmtId="0" fontId="3" fillId="0" borderId="46" xfId="2" applyFont="1" applyBorder="1" applyAlignment="1">
      <alignment horizontal="center" vertical="center"/>
    </xf>
    <xf numFmtId="0" fontId="3" fillId="0" borderId="60" xfId="2" applyFont="1" applyBorder="1" applyAlignment="1">
      <alignment horizontal="center"/>
    </xf>
    <xf numFmtId="2" fontId="3" fillId="0" borderId="60" xfId="2" applyNumberFormat="1" applyFont="1" applyBorder="1" applyAlignment="1">
      <alignment horizontal="center"/>
    </xf>
    <xf numFmtId="2" fontId="3" fillId="0" borderId="2" xfId="2" applyNumberFormat="1" applyFont="1" applyBorder="1" applyAlignment="1">
      <alignment horizontal="center"/>
    </xf>
    <xf numFmtId="0" fontId="11" fillId="0" borderId="43" xfId="2" applyFont="1" applyBorder="1" applyAlignment="1">
      <alignment horizontal="center"/>
    </xf>
    <xf numFmtId="10" fontId="11" fillId="0" borderId="60" xfId="9" applyNumberFormat="1" applyFont="1" applyBorder="1" applyAlignment="1">
      <alignment horizontal="center"/>
    </xf>
    <xf numFmtId="10" fontId="11" fillId="0" borderId="2" xfId="9" applyNumberFormat="1" applyFont="1" applyBorder="1" applyAlignment="1">
      <alignment horizontal="center"/>
    </xf>
    <xf numFmtId="0" fontId="15" fillId="0" borderId="0" xfId="2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center" vertical="center"/>
    </xf>
    <xf numFmtId="0" fontId="3" fillId="0" borderId="44" xfId="2" applyFont="1" applyBorder="1" applyAlignment="1">
      <alignment horizontal="left" vertical="center"/>
    </xf>
    <xf numFmtId="0" fontId="3" fillId="0" borderId="60" xfId="2" applyFont="1" applyBorder="1" applyAlignment="1">
      <alignment horizontal="center" vertical="top"/>
    </xf>
    <xf numFmtId="0" fontId="3" fillId="0" borderId="7" xfId="2" applyFont="1" applyBorder="1" applyAlignment="1">
      <alignment horizontal="center" vertical="top"/>
    </xf>
    <xf numFmtId="0" fontId="3" fillId="0" borderId="46" xfId="2" applyFont="1" applyBorder="1" applyAlignment="1">
      <alignment horizontal="center" vertical="top"/>
    </xf>
    <xf numFmtId="0" fontId="9" fillId="0" borderId="0" xfId="2" applyFont="1" applyFill="1" applyBorder="1" applyAlignment="1">
      <alignment horizontal="center"/>
    </xf>
    <xf numFmtId="0" fontId="17" fillId="0" borderId="0" xfId="2" applyFont="1" applyFill="1" applyBorder="1" applyAlignment="1">
      <alignment horizontal="center" vertical="center"/>
    </xf>
  </cellXfs>
  <cellStyles count="14">
    <cellStyle name="Moeda 2" xfId="1"/>
    <cellStyle name="Normal" xfId="0" builtinId="0"/>
    <cellStyle name="Normal 2" xfId="2"/>
    <cellStyle name="Normal 2 2" xfId="3"/>
    <cellStyle name="Normal 3" xfId="4"/>
    <cellStyle name="Normal 4" xfId="5"/>
    <cellStyle name="Normal 4 2" xfId="6"/>
    <cellStyle name="Normal_ESPINOSA-SES-ORCAMENTO-CRONOGRAMA-ABC-2012-11-06" xfId="7"/>
    <cellStyle name="Porcentagem" xfId="8" builtinId="5"/>
    <cellStyle name="Porcentagem 2" xfId="9"/>
    <cellStyle name="Separador de milhares" xfId="10" builtinId="3"/>
    <cellStyle name="Vírgula 2" xfId="11"/>
    <cellStyle name="Vírgula 3" xfId="12"/>
    <cellStyle name="Vírgula 4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0</xdr:row>
      <xdr:rowOff>66675</xdr:rowOff>
    </xdr:from>
    <xdr:to>
      <xdr:col>4</xdr:col>
      <xdr:colOff>19050</xdr:colOff>
      <xdr:row>0</xdr:row>
      <xdr:rowOff>704850</xdr:rowOff>
    </xdr:to>
    <xdr:sp macro="" textlink="">
      <xdr:nvSpPr>
        <xdr:cNvPr id="1028" name="Text Box 6"/>
        <xdr:cNvSpPr txBox="1">
          <a:spLocks noChangeArrowheads="1"/>
        </xdr:cNvSpPr>
      </xdr:nvSpPr>
      <xdr:spPr bwMode="auto">
        <a:xfrm>
          <a:off x="1190625" y="66675"/>
          <a:ext cx="371475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47625</xdr:colOff>
      <xdr:row>107</xdr:row>
      <xdr:rowOff>114300</xdr:rowOff>
    </xdr:from>
    <xdr:to>
      <xdr:col>8</xdr:col>
      <xdr:colOff>0</xdr:colOff>
      <xdr:row>108</xdr:row>
      <xdr:rowOff>161925</xdr:rowOff>
    </xdr:to>
    <xdr:sp macro="" textlink="">
      <xdr:nvSpPr>
        <xdr:cNvPr id="1029" name="Text Box 7"/>
        <xdr:cNvSpPr txBox="1">
          <a:spLocks noChangeArrowheads="1"/>
        </xdr:cNvSpPr>
      </xdr:nvSpPr>
      <xdr:spPr bwMode="auto">
        <a:xfrm>
          <a:off x="47625" y="66655950"/>
          <a:ext cx="81153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2086535</xdr:colOff>
      <xdr:row>0</xdr:row>
      <xdr:rowOff>402852</xdr:rowOff>
    </xdr:from>
    <xdr:to>
      <xdr:col>7</xdr:col>
      <xdr:colOff>334112</xdr:colOff>
      <xdr:row>5</xdr:row>
      <xdr:rowOff>112060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3588123" y="402852"/>
          <a:ext cx="6495107" cy="13788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ctr" rtl="0">
            <a:defRPr sz="1000"/>
          </a:pPr>
          <a:r>
            <a:rPr lang="pt-BR" sz="14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PREFEITURA MUNICIPAL DE CORAÇÃO DE JESUS</a:t>
          </a:r>
        </a:p>
        <a:p>
          <a:pPr algn="ctr" rtl="0">
            <a:defRPr sz="1000"/>
          </a:pPr>
          <a:endParaRPr lang="pt-BR" sz="1400" b="0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pt-BR" sz="14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ESTADO DE MINAS GERAIS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.bin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07"/>
  <sheetViews>
    <sheetView showGridLines="0" showZeros="0" tabSelected="1" view="pageBreakPreview" topLeftCell="A92" zoomScaleSheetLayoutView="100" workbookViewId="0">
      <selection activeCell="H96" sqref="H96"/>
    </sheetView>
  </sheetViews>
  <sheetFormatPr defaultRowHeight="12.75"/>
  <cols>
    <col min="1" max="1" width="5.42578125" style="1" bestFit="1" customWidth="1"/>
    <col min="2" max="2" width="10.7109375" style="1" bestFit="1" customWidth="1"/>
    <col min="3" max="3" width="48" style="1" customWidth="1"/>
    <col min="4" max="4" width="9.140625" style="1"/>
    <col min="5" max="8" width="12.28515625" style="1" customWidth="1"/>
    <col min="9" max="9" width="13.85546875" style="1" customWidth="1"/>
    <col min="10" max="16384" width="9.140625" style="1"/>
  </cols>
  <sheetData>
    <row r="1" spans="1:10" s="20" customFormat="1" ht="99" customHeight="1">
      <c r="A1" s="275" t="s">
        <v>84</v>
      </c>
      <c r="B1" s="276"/>
      <c r="C1" s="276"/>
      <c r="D1" s="276"/>
      <c r="E1" s="276"/>
      <c r="F1" s="276"/>
      <c r="G1" s="276"/>
      <c r="H1" s="276"/>
    </row>
    <row r="2" spans="1:10" ht="15.75">
      <c r="A2" s="247"/>
      <c r="B2" s="247"/>
      <c r="C2" s="247"/>
      <c r="D2" s="247"/>
      <c r="E2" s="247"/>
      <c r="F2" s="247"/>
      <c r="G2" s="247"/>
      <c r="H2" s="247"/>
    </row>
    <row r="3" spans="1:10" ht="3.75" customHeight="1" thickBot="1">
      <c r="A3" s="282"/>
      <c r="B3" s="282"/>
      <c r="C3" s="282"/>
      <c r="D3" s="282"/>
      <c r="E3" s="282"/>
      <c r="F3" s="282"/>
      <c r="G3" s="282"/>
      <c r="H3" s="282"/>
    </row>
    <row r="4" spans="1:10" ht="20.100000000000001" customHeight="1" thickBot="1">
      <c r="A4" s="286" t="s">
        <v>4</v>
      </c>
      <c r="B4" s="287"/>
      <c r="C4" s="287"/>
      <c r="D4" s="287"/>
      <c r="E4" s="287"/>
      <c r="F4" s="287"/>
      <c r="G4" s="287"/>
      <c r="H4" s="288"/>
    </row>
    <row r="5" spans="1:10" ht="3.75" customHeight="1" thickBot="1">
      <c r="A5" s="2"/>
      <c r="B5" s="2"/>
      <c r="C5" s="2"/>
      <c r="D5" s="2"/>
      <c r="E5" s="2"/>
      <c r="F5" s="2"/>
      <c r="G5" s="2"/>
      <c r="H5" s="2"/>
    </row>
    <row r="6" spans="1:10" ht="20.100000000000001" customHeight="1">
      <c r="A6" s="255" t="s">
        <v>33</v>
      </c>
      <c r="B6" s="256"/>
      <c r="C6" s="256"/>
      <c r="D6" s="256"/>
      <c r="E6" s="257"/>
      <c r="F6" s="289" t="s">
        <v>32</v>
      </c>
      <c r="G6" s="290"/>
      <c r="H6" s="291"/>
    </row>
    <row r="7" spans="1:10" ht="20.100000000000001" customHeight="1">
      <c r="A7" s="258" t="s">
        <v>150</v>
      </c>
      <c r="B7" s="259"/>
      <c r="C7" s="259"/>
      <c r="D7" s="259"/>
      <c r="E7" s="260"/>
      <c r="F7" s="252" t="s">
        <v>322</v>
      </c>
      <c r="G7" s="253"/>
      <c r="H7" s="254"/>
    </row>
    <row r="8" spans="1:10" ht="20.100000000000001" customHeight="1">
      <c r="A8" s="261" t="s">
        <v>80</v>
      </c>
      <c r="B8" s="262"/>
      <c r="C8" s="262"/>
      <c r="D8" s="263"/>
      <c r="E8" s="283" t="s">
        <v>11</v>
      </c>
      <c r="F8" s="284"/>
      <c r="G8" s="284"/>
      <c r="H8" s="285"/>
    </row>
    <row r="9" spans="1:10" ht="26.25" customHeight="1">
      <c r="A9" s="267" t="s">
        <v>321</v>
      </c>
      <c r="B9" s="268"/>
      <c r="C9" s="268"/>
      <c r="D9" s="269"/>
      <c r="E9" s="250" t="s">
        <v>8</v>
      </c>
      <c r="F9" s="248" t="s">
        <v>6</v>
      </c>
      <c r="G9" s="24" t="s">
        <v>81</v>
      </c>
      <c r="H9" s="3" t="s">
        <v>7</v>
      </c>
    </row>
    <row r="10" spans="1:10" ht="20.100000000000001" customHeight="1" thickBot="1">
      <c r="A10" s="264" t="s">
        <v>330</v>
      </c>
      <c r="B10" s="265"/>
      <c r="C10" s="265"/>
      <c r="D10" s="266"/>
      <c r="E10" s="251"/>
      <c r="F10" s="249"/>
      <c r="G10" s="4" t="s">
        <v>9</v>
      </c>
      <c r="H10" s="10">
        <v>0.29770000000000002</v>
      </c>
    </row>
    <row r="11" spans="1:10" ht="3.75" customHeight="1">
      <c r="A11" s="270"/>
      <c r="B11" s="270"/>
      <c r="C11" s="270"/>
      <c r="D11" s="270"/>
      <c r="E11" s="270"/>
      <c r="F11" s="270"/>
      <c r="G11" s="270"/>
      <c r="H11" s="270"/>
    </row>
    <row r="12" spans="1:10" ht="38.25">
      <c r="A12" s="16" t="s">
        <v>0</v>
      </c>
      <c r="B12" s="16" t="s">
        <v>5</v>
      </c>
      <c r="C12" s="16" t="s">
        <v>1</v>
      </c>
      <c r="D12" s="16" t="s">
        <v>3</v>
      </c>
      <c r="E12" s="16" t="s">
        <v>2</v>
      </c>
      <c r="F12" s="17" t="s">
        <v>12</v>
      </c>
      <c r="G12" s="17" t="s">
        <v>13</v>
      </c>
      <c r="H12" s="17" t="s">
        <v>10</v>
      </c>
    </row>
    <row r="13" spans="1:10">
      <c r="A13" s="86" t="s">
        <v>42</v>
      </c>
      <c r="B13" s="87"/>
      <c r="C13" s="88" t="s">
        <v>16</v>
      </c>
      <c r="D13" s="89"/>
      <c r="E13" s="90"/>
      <c r="F13" s="90"/>
      <c r="G13" s="90"/>
      <c r="H13" s="91"/>
    </row>
    <row r="14" spans="1:10" ht="127.5">
      <c r="A14" s="82" t="s">
        <v>14</v>
      </c>
      <c r="B14" s="68" t="s">
        <v>18</v>
      </c>
      <c r="C14" s="182" t="s">
        <v>241</v>
      </c>
      <c r="D14" s="70" t="s">
        <v>35</v>
      </c>
      <c r="E14" s="71">
        <v>1</v>
      </c>
      <c r="F14" s="223">
        <v>1088.76</v>
      </c>
      <c r="G14" s="74">
        <f>ROUND(F14+(F14*$H$10),2)</f>
        <v>1412.88</v>
      </c>
      <c r="H14" s="83">
        <f>ROUND((E14*G14),2)</f>
        <v>1412.88</v>
      </c>
    </row>
    <row r="15" spans="1:10" ht="25.5">
      <c r="A15" s="82" t="s">
        <v>17</v>
      </c>
      <c r="B15" s="189" t="s">
        <v>267</v>
      </c>
      <c r="C15" s="182" t="s">
        <v>266</v>
      </c>
      <c r="D15" s="212" t="s">
        <v>35</v>
      </c>
      <c r="E15" s="71">
        <f>'Memoria de calculo'!E12</f>
        <v>11</v>
      </c>
      <c r="F15" s="223">
        <v>74</v>
      </c>
      <c r="G15" s="74">
        <f>ROUND(F15+(F15*$H$10),2)</f>
        <v>96.03</v>
      </c>
      <c r="H15" s="83">
        <f>ROUND((E15*G15),2)</f>
        <v>1056.33</v>
      </c>
      <c r="J15" s="1">
        <v>0</v>
      </c>
    </row>
    <row r="16" spans="1:10" ht="51">
      <c r="A16" s="82" t="s">
        <v>37</v>
      </c>
      <c r="B16" s="189" t="s">
        <v>38</v>
      </c>
      <c r="C16" s="72" t="s">
        <v>39</v>
      </c>
      <c r="D16" s="70" t="s">
        <v>40</v>
      </c>
      <c r="E16" s="71">
        <v>0.5</v>
      </c>
      <c r="F16" s="192" t="s">
        <v>233</v>
      </c>
      <c r="G16" s="191">
        <f>H16</f>
        <v>479.6447</v>
      </c>
      <c r="H16" s="83">
        <f>ROUND((E16*I16),2)/100</f>
        <v>479.6447</v>
      </c>
      <c r="I16" s="71">
        <f>(H14+H15+H18+H17+H35+H38+H54+H57+H73+H76+H92+H95)</f>
        <v>95928.931327564002</v>
      </c>
    </row>
    <row r="17" spans="1:11" ht="89.25">
      <c r="A17" s="185" t="s">
        <v>41</v>
      </c>
      <c r="B17" s="189" t="s">
        <v>272</v>
      </c>
      <c r="C17" s="182" t="s">
        <v>273</v>
      </c>
      <c r="D17" s="212" t="s">
        <v>268</v>
      </c>
      <c r="E17" s="71">
        <f>'Memoria de calculo'!E14</f>
        <v>1</v>
      </c>
      <c r="F17" s="223">
        <v>5054.16</v>
      </c>
      <c r="G17" s="74">
        <f>ROUND(F17+(F17*$H$10),2)</f>
        <v>6558.78</v>
      </c>
      <c r="H17" s="83">
        <f>ROUND((E17*G17),2)</f>
        <v>6558.78</v>
      </c>
    </row>
    <row r="18" spans="1:11" ht="25.5">
      <c r="A18" s="185" t="s">
        <v>232</v>
      </c>
      <c r="B18" s="68" t="s">
        <v>159</v>
      </c>
      <c r="C18" s="182" t="s">
        <v>158</v>
      </c>
      <c r="D18" s="70" t="s">
        <v>160</v>
      </c>
      <c r="E18" s="71">
        <f>'Memoria de calculo'!E15</f>
        <v>2</v>
      </c>
      <c r="F18" s="223">
        <v>515</v>
      </c>
      <c r="G18" s="74">
        <f>ROUND(F18+(F18*$H$10),2)</f>
        <v>668.32</v>
      </c>
      <c r="H18" s="83">
        <f>ROUND((E18*G18),2)</f>
        <v>1336.64</v>
      </c>
      <c r="I18" s="19"/>
      <c r="K18" s="5">
        <f>E24+E43+E62+E81</f>
        <v>1471.81</v>
      </c>
    </row>
    <row r="19" spans="1:11">
      <c r="A19" s="92"/>
      <c r="B19" s="93"/>
      <c r="C19" s="271" t="s">
        <v>82</v>
      </c>
      <c r="D19" s="271"/>
      <c r="E19" s="271"/>
      <c r="F19" s="271"/>
      <c r="G19" s="271"/>
      <c r="H19" s="94">
        <f>SUM(H14:H18)</f>
        <v>10844.274699999998</v>
      </c>
      <c r="I19" s="19"/>
    </row>
    <row r="20" spans="1:11" ht="47.25" customHeight="1">
      <c r="A20" s="18" t="s">
        <v>43</v>
      </c>
      <c r="B20" s="292" t="s">
        <v>334</v>
      </c>
      <c r="C20" s="292"/>
      <c r="D20" s="292"/>
      <c r="E20" s="292"/>
      <c r="F20" s="292"/>
      <c r="G20" s="292"/>
      <c r="H20" s="292"/>
      <c r="I20" s="15"/>
    </row>
    <row r="21" spans="1:11">
      <c r="A21" s="86" t="s">
        <v>21</v>
      </c>
      <c r="B21" s="78"/>
      <c r="C21" s="95" t="s">
        <v>20</v>
      </c>
      <c r="D21" s="96"/>
      <c r="E21" s="80"/>
      <c r="F21" s="80"/>
      <c r="G21" s="80">
        <f t="shared" ref="G21:G34" si="0">ROUND(F21+(F21*$H$10),2)</f>
        <v>0</v>
      </c>
      <c r="H21" s="81">
        <f t="shared" ref="H21:H34" si="1">ROUND((E21*G21),2)</f>
        <v>0</v>
      </c>
      <c r="I21" s="13"/>
    </row>
    <row r="22" spans="1:11" ht="25.5">
      <c r="A22" s="82" t="s">
        <v>44</v>
      </c>
      <c r="B22" s="68" t="s">
        <v>45</v>
      </c>
      <c r="C22" s="76" t="s">
        <v>57</v>
      </c>
      <c r="D22" s="97" t="s">
        <v>58</v>
      </c>
      <c r="E22" s="74">
        <f>'Memoria de calculo'!E18</f>
        <v>101.72</v>
      </c>
      <c r="F22" s="224">
        <v>2.71</v>
      </c>
      <c r="G22" s="74">
        <f t="shared" si="0"/>
        <v>3.52</v>
      </c>
      <c r="H22" s="83">
        <f t="shared" si="1"/>
        <v>358.05</v>
      </c>
      <c r="I22" s="13"/>
    </row>
    <row r="23" spans="1:11" ht="63.75">
      <c r="A23" s="82" t="s">
        <v>46</v>
      </c>
      <c r="B23" s="68" t="s">
        <v>47</v>
      </c>
      <c r="C23" s="76" t="s">
        <v>59</v>
      </c>
      <c r="D23" s="70" t="s">
        <v>60</v>
      </c>
      <c r="E23" s="74">
        <f>'Memoria de calculo'!E19</f>
        <v>813.76</v>
      </c>
      <c r="F23" s="224">
        <v>3.2</v>
      </c>
      <c r="G23" s="74">
        <f t="shared" si="0"/>
        <v>4.1500000000000004</v>
      </c>
      <c r="H23" s="83">
        <f t="shared" si="1"/>
        <v>3377.1</v>
      </c>
    </row>
    <row r="24" spans="1:11" ht="25.5">
      <c r="A24" s="82" t="s">
        <v>48</v>
      </c>
      <c r="B24" s="73" t="s">
        <v>22</v>
      </c>
      <c r="C24" s="76" t="s">
        <v>23</v>
      </c>
      <c r="D24" s="97" t="s">
        <v>36</v>
      </c>
      <c r="E24" s="74">
        <f>'Memoria de calculo'!E20</f>
        <v>678.16</v>
      </c>
      <c r="F24" s="224">
        <v>0.78</v>
      </c>
      <c r="G24" s="74">
        <f t="shared" si="0"/>
        <v>1.01</v>
      </c>
      <c r="H24" s="83">
        <f t="shared" si="1"/>
        <v>684.94</v>
      </c>
    </row>
    <row r="25" spans="1:11">
      <c r="A25" s="82" t="s">
        <v>49</v>
      </c>
      <c r="B25" s="68" t="s">
        <v>50</v>
      </c>
      <c r="C25" s="182" t="s">
        <v>271</v>
      </c>
      <c r="D25" s="97" t="s">
        <v>58</v>
      </c>
      <c r="E25" s="74">
        <f>'Memoria de calculo'!E21</f>
        <v>101.72</v>
      </c>
      <c r="F25" s="224">
        <v>32.46</v>
      </c>
      <c r="G25" s="74">
        <f t="shared" si="0"/>
        <v>42.12</v>
      </c>
      <c r="H25" s="83">
        <f t="shared" si="1"/>
        <v>4284.45</v>
      </c>
    </row>
    <row r="26" spans="1:11" ht="51">
      <c r="A26" s="82" t="s">
        <v>51</v>
      </c>
      <c r="B26" s="73" t="s">
        <v>52</v>
      </c>
      <c r="C26" s="76" t="s">
        <v>61</v>
      </c>
      <c r="D26" s="70" t="s">
        <v>60</v>
      </c>
      <c r="E26" s="74">
        <f>'Memoria de calculo'!E22</f>
        <v>1200.296</v>
      </c>
      <c r="F26" s="224">
        <v>0.93</v>
      </c>
      <c r="G26" s="74">
        <f t="shared" si="0"/>
        <v>1.21</v>
      </c>
      <c r="H26" s="83">
        <f t="shared" si="1"/>
        <v>1452.36</v>
      </c>
    </row>
    <row r="27" spans="1:11" ht="76.5">
      <c r="A27" s="82" t="s">
        <v>53</v>
      </c>
      <c r="B27" s="193" t="s">
        <v>24</v>
      </c>
      <c r="C27" s="194" t="s">
        <v>234</v>
      </c>
      <c r="D27" s="97" t="s">
        <v>58</v>
      </c>
      <c r="E27" s="74">
        <f>'Memoria de calculo'!E23</f>
        <v>101.72</v>
      </c>
      <c r="F27" s="224">
        <v>13.51</v>
      </c>
      <c r="G27" s="74">
        <f t="shared" si="0"/>
        <v>17.53</v>
      </c>
      <c r="H27" s="83">
        <f t="shared" si="1"/>
        <v>1783.15</v>
      </c>
    </row>
    <row r="28" spans="1:11" ht="38.25">
      <c r="A28" s="82" t="s">
        <v>54</v>
      </c>
      <c r="B28" s="193" t="s">
        <v>27</v>
      </c>
      <c r="C28" s="194" t="s">
        <v>235</v>
      </c>
      <c r="D28" s="97" t="s">
        <v>36</v>
      </c>
      <c r="E28" s="74">
        <f>'Memoria de calculo'!E24</f>
        <v>678.16</v>
      </c>
      <c r="F28" s="224">
        <v>6.73</v>
      </c>
      <c r="G28" s="74">
        <f t="shared" si="0"/>
        <v>8.73</v>
      </c>
      <c r="H28" s="83">
        <f t="shared" si="1"/>
        <v>5920.34</v>
      </c>
      <c r="I28" s="5"/>
    </row>
    <row r="29" spans="1:11" ht="51">
      <c r="A29" s="82" t="s">
        <v>55</v>
      </c>
      <c r="B29" s="193" t="s">
        <v>26</v>
      </c>
      <c r="C29" s="194" t="s">
        <v>237</v>
      </c>
      <c r="D29" s="70" t="s">
        <v>36</v>
      </c>
      <c r="E29" s="74">
        <f>'Memoria de calculo'!E25</f>
        <v>600.66</v>
      </c>
      <c r="F29" s="224">
        <v>1.28</v>
      </c>
      <c r="G29" s="74">
        <f t="shared" si="0"/>
        <v>1.66</v>
      </c>
      <c r="H29" s="83">
        <f t="shared" si="1"/>
        <v>997.1</v>
      </c>
      <c r="I29" s="5"/>
    </row>
    <row r="30" spans="1:11" ht="38.25">
      <c r="A30" s="185" t="s">
        <v>176</v>
      </c>
      <c r="B30" s="193" t="s">
        <v>25</v>
      </c>
      <c r="C30" s="194" t="s">
        <v>236</v>
      </c>
      <c r="D30" s="70" t="s">
        <v>62</v>
      </c>
      <c r="E30" s="74">
        <f>'Memoria de calculo'!E26</f>
        <v>530.98343999999997</v>
      </c>
      <c r="F30" s="224">
        <v>0.46</v>
      </c>
      <c r="G30" s="74">
        <f t="shared" si="0"/>
        <v>0.6</v>
      </c>
      <c r="H30" s="83">
        <f t="shared" si="1"/>
        <v>318.58999999999997</v>
      </c>
    </row>
    <row r="31" spans="1:11" s="20" customFormat="1" ht="52.5" customHeight="1">
      <c r="A31" s="185" t="s">
        <v>56</v>
      </c>
      <c r="B31" s="237" t="s">
        <v>355</v>
      </c>
      <c r="C31" s="238" t="s">
        <v>356</v>
      </c>
      <c r="D31" s="239" t="s">
        <v>60</v>
      </c>
      <c r="E31" s="240">
        <f>'Memoria de calculo'!E27</f>
        <v>63.573854400000002</v>
      </c>
      <c r="F31" s="240">
        <v>1.17</v>
      </c>
      <c r="G31" s="240">
        <f>ROUND(F31*($H$10+1),2)</f>
        <v>1.52</v>
      </c>
      <c r="H31" s="242">
        <f t="shared" ref="H31" si="2">G31*E31</f>
        <v>96.632258688000007</v>
      </c>
      <c r="I31" s="229"/>
    </row>
    <row r="32" spans="1:11" s="20" customFormat="1" ht="59.25" customHeight="1">
      <c r="A32" s="185" t="s">
        <v>338</v>
      </c>
      <c r="B32" s="237" t="s">
        <v>357</v>
      </c>
      <c r="C32" s="238" t="s">
        <v>358</v>
      </c>
      <c r="D32" s="239" t="s">
        <v>60</v>
      </c>
      <c r="E32" s="240">
        <f>'Memoria de calculo'!E28</f>
        <v>275.70293999999996</v>
      </c>
      <c r="F32" s="240">
        <v>0.7</v>
      </c>
      <c r="G32" s="240">
        <f>ROUND(F32*($H$10+1),2)</f>
        <v>0.91</v>
      </c>
      <c r="H32" s="242">
        <f>G32*E32</f>
        <v>250.88967539999996</v>
      </c>
      <c r="I32" s="229"/>
    </row>
    <row r="33" spans="1:12" s="20" customFormat="1" ht="57" customHeight="1">
      <c r="A33" s="185" t="s">
        <v>340</v>
      </c>
      <c r="B33" s="237" t="s">
        <v>359</v>
      </c>
      <c r="C33" s="238" t="s">
        <v>360</v>
      </c>
      <c r="D33" s="239" t="s">
        <v>60</v>
      </c>
      <c r="E33" s="240">
        <f>'Memoria de calculo'!E29</f>
        <v>1549.7028</v>
      </c>
      <c r="F33" s="240">
        <v>0.98</v>
      </c>
      <c r="G33" s="240">
        <f>ROUND(F33*($H$10+1),2)</f>
        <v>1.27</v>
      </c>
      <c r="H33" s="242">
        <f>G33*E33</f>
        <v>1968.122556</v>
      </c>
      <c r="I33" s="229"/>
    </row>
    <row r="34" spans="1:12" ht="102">
      <c r="A34" s="185" t="s">
        <v>342</v>
      </c>
      <c r="B34" s="231" t="s">
        <v>276</v>
      </c>
      <c r="C34" s="232" t="s">
        <v>277</v>
      </c>
      <c r="D34" s="233" t="s">
        <v>58</v>
      </c>
      <c r="E34" s="234">
        <f>'Memoria de calculo'!E30</f>
        <v>18.0198</v>
      </c>
      <c r="F34" s="235">
        <v>465.92</v>
      </c>
      <c r="G34" s="234">
        <f t="shared" si="0"/>
        <v>604.62</v>
      </c>
      <c r="H34" s="236">
        <f t="shared" si="1"/>
        <v>10895.13</v>
      </c>
      <c r="I34" s="13"/>
      <c r="J34" s="13"/>
    </row>
    <row r="35" spans="1:12">
      <c r="A35" s="82"/>
      <c r="B35" s="73"/>
      <c r="C35" s="274" t="s">
        <v>82</v>
      </c>
      <c r="D35" s="274"/>
      <c r="E35" s="274"/>
      <c r="F35" s="274"/>
      <c r="G35" s="274"/>
      <c r="H35" s="98">
        <f>SUM(H22:H34)</f>
        <v>32386.854490088001</v>
      </c>
      <c r="I35" s="13"/>
      <c r="J35" s="13"/>
    </row>
    <row r="36" spans="1:12">
      <c r="A36" s="84" t="s">
        <v>63</v>
      </c>
      <c r="B36" s="68"/>
      <c r="C36" s="69" t="s">
        <v>64</v>
      </c>
      <c r="D36" s="99"/>
      <c r="E36" s="70"/>
      <c r="F36" s="71"/>
      <c r="G36" s="71"/>
      <c r="H36" s="85"/>
      <c r="I36" s="14"/>
      <c r="J36" s="13"/>
    </row>
    <row r="37" spans="1:12" ht="51">
      <c r="A37" s="185" t="s">
        <v>65</v>
      </c>
      <c r="B37" s="193" t="s">
        <v>66</v>
      </c>
      <c r="C37" s="182" t="s">
        <v>238</v>
      </c>
      <c r="D37" s="70" t="s">
        <v>67</v>
      </c>
      <c r="E37" s="71">
        <f>'Memoria de calculo'!E32</f>
        <v>193.77</v>
      </c>
      <c r="F37" s="223">
        <v>28.06</v>
      </c>
      <c r="G37" s="74">
        <f>ROUND(F37+(F37*$H$10),2)</f>
        <v>36.409999999999997</v>
      </c>
      <c r="H37" s="83">
        <f>ROUND((E37*G37),2)</f>
        <v>7055.17</v>
      </c>
      <c r="I37" s="19"/>
      <c r="J37" s="13"/>
    </row>
    <row r="38" spans="1:12">
      <c r="A38" s="92"/>
      <c r="B38" s="100"/>
      <c r="C38" s="271" t="s">
        <v>82</v>
      </c>
      <c r="D38" s="271"/>
      <c r="E38" s="271"/>
      <c r="F38" s="271"/>
      <c r="G38" s="271"/>
      <c r="H38" s="101">
        <f>SUM(H37)</f>
        <v>7055.17</v>
      </c>
      <c r="I38" s="19"/>
      <c r="J38" s="13"/>
    </row>
    <row r="39" spans="1:12" ht="42.75" customHeight="1">
      <c r="A39" s="25" t="s">
        <v>85</v>
      </c>
      <c r="B39" s="293" t="s">
        <v>335</v>
      </c>
      <c r="C39" s="294"/>
      <c r="D39" s="294"/>
      <c r="E39" s="294"/>
      <c r="F39" s="294"/>
      <c r="G39" s="294"/>
      <c r="H39" s="295"/>
      <c r="I39" s="26"/>
    </row>
    <row r="40" spans="1:12" s="20" customFormat="1">
      <c r="A40" s="84" t="s">
        <v>29</v>
      </c>
      <c r="B40" s="68"/>
      <c r="C40" s="188" t="s">
        <v>20</v>
      </c>
      <c r="D40" s="70"/>
      <c r="E40" s="71"/>
      <c r="F40" s="71"/>
      <c r="G40" s="71"/>
      <c r="H40" s="102"/>
    </row>
    <row r="41" spans="1:12" s="21" customFormat="1" ht="25.5">
      <c r="A41" s="82" t="s">
        <v>86</v>
      </c>
      <c r="B41" s="68" t="s">
        <v>45</v>
      </c>
      <c r="C41" s="76" t="s">
        <v>57</v>
      </c>
      <c r="D41" s="73" t="s">
        <v>58</v>
      </c>
      <c r="E41" s="71">
        <f>'Memoria de calculo'!E35</f>
        <v>43</v>
      </c>
      <c r="F41" s="224">
        <v>2.71</v>
      </c>
      <c r="G41" s="74">
        <f t="shared" ref="G41:G53" si="3">ROUND(F41+(F41*$H$10),2)</f>
        <v>3.52</v>
      </c>
      <c r="H41" s="83">
        <f t="shared" ref="H41:H53" si="4">ROUND((E41*G41),2)</f>
        <v>151.36000000000001</v>
      </c>
      <c r="L41" s="22"/>
    </row>
    <row r="42" spans="1:12" s="21" customFormat="1" ht="63.75">
      <c r="A42" s="82" t="s">
        <v>87</v>
      </c>
      <c r="B42" s="68" t="s">
        <v>47</v>
      </c>
      <c r="C42" s="76" t="s">
        <v>59</v>
      </c>
      <c r="D42" s="73" t="s">
        <v>60</v>
      </c>
      <c r="E42" s="71">
        <f>'Memoria de calculo'!E36</f>
        <v>344</v>
      </c>
      <c r="F42" s="224">
        <v>3.2</v>
      </c>
      <c r="G42" s="74">
        <f t="shared" si="3"/>
        <v>4.1500000000000004</v>
      </c>
      <c r="H42" s="83">
        <f t="shared" si="4"/>
        <v>1427.6</v>
      </c>
    </row>
    <row r="43" spans="1:12" s="20" customFormat="1" ht="25.5">
      <c r="A43" s="82" t="s">
        <v>88</v>
      </c>
      <c r="B43" s="73" t="s">
        <v>22</v>
      </c>
      <c r="C43" s="76" t="s">
        <v>23</v>
      </c>
      <c r="D43" s="70" t="s">
        <v>36</v>
      </c>
      <c r="E43" s="71">
        <f>'Memoria de calculo'!E37</f>
        <v>286.64999999999998</v>
      </c>
      <c r="F43" s="224">
        <v>0.78</v>
      </c>
      <c r="G43" s="74">
        <f t="shared" si="3"/>
        <v>1.01</v>
      </c>
      <c r="H43" s="83">
        <f t="shared" si="4"/>
        <v>289.52</v>
      </c>
    </row>
    <row r="44" spans="1:12" s="21" customFormat="1">
      <c r="A44" s="82" t="s">
        <v>89</v>
      </c>
      <c r="B44" s="68" t="s">
        <v>50</v>
      </c>
      <c r="C44" s="182" t="s">
        <v>271</v>
      </c>
      <c r="D44" s="73" t="s">
        <v>58</v>
      </c>
      <c r="E44" s="71">
        <f>'Memoria de calculo'!E38</f>
        <v>43</v>
      </c>
      <c r="F44" s="224">
        <v>32.46</v>
      </c>
      <c r="G44" s="74">
        <f t="shared" si="3"/>
        <v>42.12</v>
      </c>
      <c r="H44" s="83">
        <f t="shared" si="4"/>
        <v>1811.16</v>
      </c>
    </row>
    <row r="45" spans="1:12" s="20" customFormat="1" ht="51">
      <c r="A45" s="82" t="s">
        <v>90</v>
      </c>
      <c r="B45" s="73" t="s">
        <v>52</v>
      </c>
      <c r="C45" s="76" t="s">
        <v>61</v>
      </c>
      <c r="D45" s="73" t="s">
        <v>60</v>
      </c>
      <c r="E45" s="71">
        <f>'Memoria de calculo'!E39</f>
        <v>507.40000000000003</v>
      </c>
      <c r="F45" s="224">
        <v>0.93</v>
      </c>
      <c r="G45" s="74">
        <f t="shared" si="3"/>
        <v>1.21</v>
      </c>
      <c r="H45" s="83">
        <f t="shared" si="4"/>
        <v>613.95000000000005</v>
      </c>
    </row>
    <row r="46" spans="1:12" s="20" customFormat="1" ht="76.5">
      <c r="A46" s="82" t="s">
        <v>91</v>
      </c>
      <c r="B46" s="73" t="s">
        <v>24</v>
      </c>
      <c r="C46" s="194" t="s">
        <v>234</v>
      </c>
      <c r="D46" s="73" t="s">
        <v>58</v>
      </c>
      <c r="E46" s="71">
        <f>'Memoria de calculo'!E40</f>
        <v>43</v>
      </c>
      <c r="F46" s="224">
        <v>13.51</v>
      </c>
      <c r="G46" s="74">
        <f t="shared" si="3"/>
        <v>17.53</v>
      </c>
      <c r="H46" s="83">
        <f t="shared" si="4"/>
        <v>753.79</v>
      </c>
    </row>
    <row r="47" spans="1:12" s="20" customFormat="1" ht="38.25">
      <c r="A47" s="82" t="s">
        <v>92</v>
      </c>
      <c r="B47" s="73" t="s">
        <v>27</v>
      </c>
      <c r="C47" s="194" t="s">
        <v>235</v>
      </c>
      <c r="D47" s="70" t="s">
        <v>36</v>
      </c>
      <c r="E47" s="71">
        <f>'Memoria de calculo'!E41</f>
        <v>286.64999999999998</v>
      </c>
      <c r="F47" s="224">
        <v>6.73</v>
      </c>
      <c r="G47" s="74">
        <f t="shared" si="3"/>
        <v>8.73</v>
      </c>
      <c r="H47" s="83">
        <f t="shared" si="4"/>
        <v>2502.4499999999998</v>
      </c>
    </row>
    <row r="48" spans="1:12" s="20" customFormat="1" ht="51">
      <c r="A48" s="82" t="s">
        <v>93</v>
      </c>
      <c r="B48" s="73" t="s">
        <v>26</v>
      </c>
      <c r="C48" s="194" t="s">
        <v>237</v>
      </c>
      <c r="D48" s="70" t="s">
        <v>36</v>
      </c>
      <c r="E48" s="71">
        <f>'Memoria de calculo'!E42</f>
        <v>250.25</v>
      </c>
      <c r="F48" s="224">
        <v>1.28</v>
      </c>
      <c r="G48" s="74">
        <f t="shared" si="3"/>
        <v>1.66</v>
      </c>
      <c r="H48" s="83">
        <f t="shared" si="4"/>
        <v>415.42</v>
      </c>
      <c r="I48" s="23"/>
    </row>
    <row r="49" spans="1:9" s="20" customFormat="1" ht="38.25">
      <c r="A49" s="185" t="s">
        <v>179</v>
      </c>
      <c r="B49" s="73" t="s">
        <v>25</v>
      </c>
      <c r="C49" s="194" t="s">
        <v>236</v>
      </c>
      <c r="D49" s="70" t="s">
        <v>62</v>
      </c>
      <c r="E49" s="71">
        <f>'Memoria de calculo'!E43</f>
        <v>221.22099999999998</v>
      </c>
      <c r="F49" s="224">
        <v>0.46</v>
      </c>
      <c r="G49" s="74">
        <f t="shared" si="3"/>
        <v>0.6</v>
      </c>
      <c r="H49" s="83">
        <f t="shared" si="4"/>
        <v>132.72999999999999</v>
      </c>
      <c r="I49" s="23"/>
    </row>
    <row r="50" spans="1:9" s="20" customFormat="1" ht="54.75" customHeight="1">
      <c r="A50" s="185" t="s">
        <v>94</v>
      </c>
      <c r="B50" s="237" t="s">
        <v>355</v>
      </c>
      <c r="C50" s="238" t="s">
        <v>356</v>
      </c>
      <c r="D50" s="239" t="s">
        <v>60</v>
      </c>
      <c r="E50" s="240">
        <f>'Memoria de calculo'!E44</f>
        <v>26.486459999999994</v>
      </c>
      <c r="F50" s="240">
        <v>1.17</v>
      </c>
      <c r="G50" s="240">
        <f>ROUND(F50*($H$10+1),2)</f>
        <v>1.52</v>
      </c>
      <c r="H50" s="242">
        <f t="shared" ref="H50" si="5">G50*E50</f>
        <v>40.259419199999989</v>
      </c>
      <c r="I50" s="229"/>
    </row>
    <row r="51" spans="1:9" s="20" customFormat="1" ht="58.5" customHeight="1">
      <c r="A51" s="185" t="s">
        <v>364</v>
      </c>
      <c r="B51" s="237" t="s">
        <v>357</v>
      </c>
      <c r="C51" s="238" t="s">
        <v>358</v>
      </c>
      <c r="D51" s="239" t="s">
        <v>60</v>
      </c>
      <c r="E51" s="240">
        <f>'Memoria de calculo'!E45</f>
        <v>114.86474999999999</v>
      </c>
      <c r="F51" s="240">
        <v>0.7</v>
      </c>
      <c r="G51" s="240">
        <f t="shared" ref="G51:G52" si="6">ROUND(F51*($H$10+1),2)</f>
        <v>0.91</v>
      </c>
      <c r="H51" s="242">
        <f>G51*E51</f>
        <v>104.5269225</v>
      </c>
      <c r="I51" s="229"/>
    </row>
    <row r="52" spans="1:9" s="20" customFormat="1" ht="64.5" customHeight="1">
      <c r="A52" s="185" t="s">
        <v>365</v>
      </c>
      <c r="B52" s="237" t="s">
        <v>359</v>
      </c>
      <c r="C52" s="238" t="s">
        <v>360</v>
      </c>
      <c r="D52" s="239" t="s">
        <v>60</v>
      </c>
      <c r="E52" s="240">
        <f>'Memoria de calculo'!E46</f>
        <v>645.64499999999998</v>
      </c>
      <c r="F52" s="240">
        <v>0.98</v>
      </c>
      <c r="G52" s="240">
        <f t="shared" si="6"/>
        <v>1.27</v>
      </c>
      <c r="H52" s="242">
        <f>G52*E52</f>
        <v>819.96915000000001</v>
      </c>
      <c r="I52" s="229"/>
    </row>
    <row r="53" spans="1:9" s="20" customFormat="1" ht="102">
      <c r="A53" s="230" t="s">
        <v>366</v>
      </c>
      <c r="B53" s="231" t="s">
        <v>276</v>
      </c>
      <c r="C53" s="232" t="s">
        <v>277</v>
      </c>
      <c r="D53" s="233" t="s">
        <v>58</v>
      </c>
      <c r="E53" s="241">
        <f>'Memoria de calculo'!E47</f>
        <v>7.5074999999999994</v>
      </c>
      <c r="F53" s="235">
        <v>465.92</v>
      </c>
      <c r="G53" s="234">
        <f t="shared" si="3"/>
        <v>604.62</v>
      </c>
      <c r="H53" s="236">
        <f t="shared" si="4"/>
        <v>4539.18</v>
      </c>
      <c r="I53" s="23"/>
    </row>
    <row r="54" spans="1:9" s="20" customFormat="1">
      <c r="A54" s="82"/>
      <c r="B54" s="73"/>
      <c r="C54" s="274" t="s">
        <v>83</v>
      </c>
      <c r="D54" s="274"/>
      <c r="E54" s="274"/>
      <c r="F54" s="274"/>
      <c r="G54" s="274"/>
      <c r="H54" s="85">
        <f>SUM(H41:H53)</f>
        <v>13601.9154917</v>
      </c>
      <c r="I54" s="23"/>
    </row>
    <row r="55" spans="1:9">
      <c r="A55" s="103" t="s">
        <v>95</v>
      </c>
      <c r="B55" s="75"/>
      <c r="C55" s="104" t="s">
        <v>64</v>
      </c>
      <c r="D55" s="70"/>
      <c r="E55" s="74"/>
      <c r="F55" s="74"/>
      <c r="G55" s="74">
        <f>ROUND(F55+(F55*$H$10),2)</f>
        <v>0</v>
      </c>
      <c r="H55" s="83">
        <f>ROUND((E55*G55),2)</f>
        <v>0</v>
      </c>
    </row>
    <row r="56" spans="1:9" ht="51">
      <c r="A56" s="103" t="s">
        <v>96</v>
      </c>
      <c r="B56" s="75" t="s">
        <v>66</v>
      </c>
      <c r="C56" s="182" t="s">
        <v>238</v>
      </c>
      <c r="D56" s="70" t="s">
        <v>67</v>
      </c>
      <c r="E56" s="74">
        <f>'Memoria de calculo'!E49</f>
        <v>91</v>
      </c>
      <c r="F56" s="223">
        <v>28.06</v>
      </c>
      <c r="G56" s="74">
        <f>ROUND(F56+(F56*$H$10),2)</f>
        <v>36.409999999999997</v>
      </c>
      <c r="H56" s="83">
        <f>ROUND((E56*G56),2)</f>
        <v>3313.31</v>
      </c>
    </row>
    <row r="57" spans="1:9">
      <c r="A57" s="105"/>
      <c r="B57" s="273" t="s">
        <v>83</v>
      </c>
      <c r="C57" s="273"/>
      <c r="D57" s="273"/>
      <c r="E57" s="273"/>
      <c r="F57" s="273"/>
      <c r="G57" s="273"/>
      <c r="H57" s="94">
        <f>SUM(H56)</f>
        <v>3313.31</v>
      </c>
      <c r="I57" s="5"/>
    </row>
    <row r="58" spans="1:9" ht="42.75" customHeight="1">
      <c r="A58" s="25" t="s">
        <v>68</v>
      </c>
      <c r="B58" s="293" t="s">
        <v>336</v>
      </c>
      <c r="C58" s="294"/>
      <c r="D58" s="294"/>
      <c r="E58" s="294"/>
      <c r="F58" s="294"/>
      <c r="G58" s="294"/>
      <c r="H58" s="295"/>
    </row>
    <row r="59" spans="1:9">
      <c r="A59" s="86" t="s">
        <v>30</v>
      </c>
      <c r="B59" s="78"/>
      <c r="C59" s="188" t="s">
        <v>20</v>
      </c>
      <c r="D59" s="96"/>
      <c r="E59" s="79"/>
      <c r="F59" s="79"/>
      <c r="G59" s="80">
        <f t="shared" ref="G59:G75" si="7">ROUND(F59+(F59*$H$10),2)</f>
        <v>0</v>
      </c>
      <c r="H59" s="81">
        <f t="shared" ref="H59:H75" si="8">ROUND((E59*G59),2)</f>
        <v>0</v>
      </c>
    </row>
    <row r="60" spans="1:9" ht="25.5">
      <c r="A60" s="82" t="s">
        <v>69</v>
      </c>
      <c r="B60" s="68" t="s">
        <v>45</v>
      </c>
      <c r="C60" s="76" t="s">
        <v>57</v>
      </c>
      <c r="D60" s="73" t="s">
        <v>58</v>
      </c>
      <c r="E60" s="71">
        <f>'Memoria de calculo'!E52</f>
        <v>40.950000000000003</v>
      </c>
      <c r="F60" s="224">
        <v>2.71</v>
      </c>
      <c r="G60" s="74">
        <f t="shared" si="7"/>
        <v>3.52</v>
      </c>
      <c r="H60" s="83">
        <f t="shared" si="8"/>
        <v>144.13999999999999</v>
      </c>
    </row>
    <row r="61" spans="1:9" ht="63.75">
      <c r="A61" s="82" t="s">
        <v>70</v>
      </c>
      <c r="B61" s="68" t="s">
        <v>47</v>
      </c>
      <c r="C61" s="76" t="s">
        <v>59</v>
      </c>
      <c r="D61" s="73" t="s">
        <v>60</v>
      </c>
      <c r="E61" s="71">
        <f>'Memoria de calculo'!E53</f>
        <v>327.60000000000002</v>
      </c>
      <c r="F61" s="224">
        <v>3.2</v>
      </c>
      <c r="G61" s="74">
        <f t="shared" si="7"/>
        <v>4.1500000000000004</v>
      </c>
      <c r="H61" s="83">
        <f t="shared" si="8"/>
        <v>1359.54</v>
      </c>
    </row>
    <row r="62" spans="1:9" ht="25.5">
      <c r="A62" s="82" t="s">
        <v>71</v>
      </c>
      <c r="B62" s="73" t="s">
        <v>22</v>
      </c>
      <c r="C62" s="76" t="s">
        <v>23</v>
      </c>
      <c r="D62" s="70" t="s">
        <v>36</v>
      </c>
      <c r="E62" s="71">
        <f>'Memoria de calculo'!E54</f>
        <v>273</v>
      </c>
      <c r="F62" s="224">
        <v>0.78</v>
      </c>
      <c r="G62" s="74">
        <f t="shared" si="7"/>
        <v>1.01</v>
      </c>
      <c r="H62" s="83">
        <f t="shared" si="8"/>
        <v>275.73</v>
      </c>
    </row>
    <row r="63" spans="1:9">
      <c r="A63" s="82" t="s">
        <v>72</v>
      </c>
      <c r="B63" s="189" t="s">
        <v>50</v>
      </c>
      <c r="C63" s="182" t="s">
        <v>271</v>
      </c>
      <c r="D63" s="73" t="s">
        <v>58</v>
      </c>
      <c r="E63" s="71">
        <f>'Memoria de calculo'!E55</f>
        <v>40.949999999999996</v>
      </c>
      <c r="F63" s="224">
        <v>32.46</v>
      </c>
      <c r="G63" s="74">
        <f t="shared" si="7"/>
        <v>42.12</v>
      </c>
      <c r="H63" s="83">
        <f t="shared" si="8"/>
        <v>1724.81</v>
      </c>
    </row>
    <row r="64" spans="1:9" ht="51">
      <c r="A64" s="82" t="s">
        <v>73</v>
      </c>
      <c r="B64" s="73" t="s">
        <v>52</v>
      </c>
      <c r="C64" s="76" t="s">
        <v>61</v>
      </c>
      <c r="D64" s="73" t="s">
        <v>60</v>
      </c>
      <c r="E64" s="71">
        <f>'Memoria de calculo'!E56</f>
        <v>483.21</v>
      </c>
      <c r="F64" s="224">
        <v>0.93</v>
      </c>
      <c r="G64" s="74">
        <f t="shared" si="7"/>
        <v>1.21</v>
      </c>
      <c r="H64" s="83">
        <f t="shared" si="8"/>
        <v>584.67999999999995</v>
      </c>
    </row>
    <row r="65" spans="1:9" ht="76.5">
      <c r="A65" s="82" t="s">
        <v>74</v>
      </c>
      <c r="B65" s="73" t="s">
        <v>24</v>
      </c>
      <c r="C65" s="194" t="s">
        <v>234</v>
      </c>
      <c r="D65" s="73" t="s">
        <v>58</v>
      </c>
      <c r="E65" s="71">
        <f>'Memoria de calculo'!E57</f>
        <v>40.950000000000003</v>
      </c>
      <c r="F65" s="224">
        <v>13.51</v>
      </c>
      <c r="G65" s="74">
        <f t="shared" si="7"/>
        <v>17.53</v>
      </c>
      <c r="H65" s="83">
        <f t="shared" si="8"/>
        <v>717.85</v>
      </c>
    </row>
    <row r="66" spans="1:9" ht="38.25">
      <c r="A66" s="82" t="s">
        <v>75</v>
      </c>
      <c r="B66" s="73" t="s">
        <v>27</v>
      </c>
      <c r="C66" s="194" t="s">
        <v>235</v>
      </c>
      <c r="D66" s="70" t="s">
        <v>36</v>
      </c>
      <c r="E66" s="71">
        <f>'Memoria de calculo'!E58</f>
        <v>273</v>
      </c>
      <c r="F66" s="224">
        <v>6.73</v>
      </c>
      <c r="G66" s="74">
        <f t="shared" si="7"/>
        <v>8.73</v>
      </c>
      <c r="H66" s="83">
        <f t="shared" si="8"/>
        <v>2383.29</v>
      </c>
    </row>
    <row r="67" spans="1:9" ht="51">
      <c r="A67" s="82" t="s">
        <v>76</v>
      </c>
      <c r="B67" s="73" t="s">
        <v>26</v>
      </c>
      <c r="C67" s="194" t="s">
        <v>237</v>
      </c>
      <c r="D67" s="70" t="s">
        <v>36</v>
      </c>
      <c r="E67" s="71">
        <f>'Memoria de calculo'!E59</f>
        <v>239.32</v>
      </c>
      <c r="F67" s="224">
        <v>1.28</v>
      </c>
      <c r="G67" s="74">
        <f t="shared" si="7"/>
        <v>1.66</v>
      </c>
      <c r="H67" s="83">
        <f t="shared" si="8"/>
        <v>397.27</v>
      </c>
    </row>
    <row r="68" spans="1:9" ht="38.25">
      <c r="A68" s="185" t="s">
        <v>181</v>
      </c>
      <c r="B68" s="73" t="s">
        <v>25</v>
      </c>
      <c r="C68" s="194" t="s">
        <v>236</v>
      </c>
      <c r="D68" s="70" t="s">
        <v>62</v>
      </c>
      <c r="E68" s="71">
        <f>'Memoria de calculo'!E60</f>
        <v>211.55887999999999</v>
      </c>
      <c r="F68" s="224">
        <v>0.46</v>
      </c>
      <c r="G68" s="74">
        <f t="shared" si="7"/>
        <v>0.6</v>
      </c>
      <c r="H68" s="83">
        <f t="shared" si="8"/>
        <v>126.94</v>
      </c>
    </row>
    <row r="69" spans="1:9" s="20" customFormat="1" ht="48.75" customHeight="1">
      <c r="A69" s="185" t="s">
        <v>77</v>
      </c>
      <c r="B69" s="237" t="s">
        <v>355</v>
      </c>
      <c r="C69" s="238" t="s">
        <v>356</v>
      </c>
      <c r="D69" s="239" t="s">
        <v>60</v>
      </c>
      <c r="E69" s="240">
        <f>'Memoria de calculo'!E61</f>
        <v>25.329628799999998</v>
      </c>
      <c r="F69" s="240">
        <v>1.17</v>
      </c>
      <c r="G69" s="240">
        <f>ROUND(F69*(H10+1),2)</f>
        <v>1.52</v>
      </c>
      <c r="H69" s="242">
        <f t="shared" ref="H69" si="9">G69*E69</f>
        <v>38.501035775999995</v>
      </c>
      <c r="I69" s="229"/>
    </row>
    <row r="70" spans="1:9" s="20" customFormat="1" ht="45" customHeight="1">
      <c r="A70" s="185" t="s">
        <v>367</v>
      </c>
      <c r="B70" s="237" t="s">
        <v>357</v>
      </c>
      <c r="C70" s="238" t="s">
        <v>358</v>
      </c>
      <c r="D70" s="239" t="s">
        <v>60</v>
      </c>
      <c r="E70" s="240">
        <f>'Memoria de calculo'!E62</f>
        <v>125.307</v>
      </c>
      <c r="F70" s="240">
        <v>0.7</v>
      </c>
      <c r="G70" s="240">
        <f>ROUND(F70*(H10+1),2)</f>
        <v>0.91</v>
      </c>
      <c r="H70" s="242">
        <f>G70*E70</f>
        <v>114.02937</v>
      </c>
      <c r="I70" s="229"/>
    </row>
    <row r="71" spans="1:9" s="20" customFormat="1" ht="54.75" customHeight="1">
      <c r="A71" s="185" t="s">
        <v>368</v>
      </c>
      <c r="B71" s="237" t="s">
        <v>359</v>
      </c>
      <c r="C71" s="238" t="s">
        <v>360</v>
      </c>
      <c r="D71" s="239" t="s">
        <v>60</v>
      </c>
      <c r="E71" s="240">
        <f>'Memoria de calculo'!E63</f>
        <v>617.44560000000001</v>
      </c>
      <c r="F71" s="240">
        <v>0.98</v>
      </c>
      <c r="G71" s="240">
        <f>ROUND(F71*(H10+1),2)</f>
        <v>1.27</v>
      </c>
      <c r="H71" s="242">
        <f>G71*E71</f>
        <v>784.15591200000006</v>
      </c>
      <c r="I71" s="229"/>
    </row>
    <row r="72" spans="1:9" ht="102">
      <c r="A72" s="185" t="s">
        <v>369</v>
      </c>
      <c r="B72" s="193" t="s">
        <v>276</v>
      </c>
      <c r="C72" s="194" t="s">
        <v>277</v>
      </c>
      <c r="D72" s="70" t="s">
        <v>58</v>
      </c>
      <c r="E72" s="71">
        <f>'Memoria de calculo'!E64</f>
        <v>7.1795999999999998</v>
      </c>
      <c r="F72" s="224">
        <v>465.92</v>
      </c>
      <c r="G72" s="74">
        <f t="shared" si="7"/>
        <v>604.62</v>
      </c>
      <c r="H72" s="83">
        <f t="shared" si="8"/>
        <v>4340.93</v>
      </c>
    </row>
    <row r="73" spans="1:9">
      <c r="A73" s="82"/>
      <c r="B73" s="73"/>
      <c r="C73" s="274" t="s">
        <v>83</v>
      </c>
      <c r="D73" s="274"/>
      <c r="E73" s="274"/>
      <c r="F73" s="274"/>
      <c r="G73" s="274"/>
      <c r="H73" s="85">
        <f>SUM(H60:H72)</f>
        <v>12991.866317775999</v>
      </c>
    </row>
    <row r="74" spans="1:9">
      <c r="A74" s="84" t="s">
        <v>78</v>
      </c>
      <c r="B74" s="68"/>
      <c r="C74" s="69" t="s">
        <v>64</v>
      </c>
      <c r="D74" s="243"/>
      <c r="E74" s="244"/>
      <c r="F74" s="244"/>
      <c r="G74" s="74">
        <f t="shared" si="7"/>
        <v>0</v>
      </c>
      <c r="H74" s="83">
        <f t="shared" si="8"/>
        <v>0</v>
      </c>
    </row>
    <row r="75" spans="1:9" ht="51">
      <c r="A75" s="82" t="s">
        <v>79</v>
      </c>
      <c r="B75" s="73" t="s">
        <v>66</v>
      </c>
      <c r="C75" s="182" t="s">
        <v>238</v>
      </c>
      <c r="D75" s="70" t="s">
        <v>67</v>
      </c>
      <c r="E75" s="245">
        <f>'Memoria de calculo'!E66</f>
        <v>76.599999999999994</v>
      </c>
      <c r="F75" s="223">
        <v>28.06</v>
      </c>
      <c r="G75" s="74">
        <f t="shared" si="7"/>
        <v>36.409999999999997</v>
      </c>
      <c r="H75" s="83">
        <f t="shared" si="8"/>
        <v>2789.01</v>
      </c>
    </row>
    <row r="76" spans="1:9">
      <c r="A76" s="92"/>
      <c r="B76" s="100"/>
      <c r="C76" s="271" t="s">
        <v>83</v>
      </c>
      <c r="D76" s="272"/>
      <c r="E76" s="272"/>
      <c r="F76" s="272"/>
      <c r="G76" s="271"/>
      <c r="H76" s="94">
        <f>SUM(H75)</f>
        <v>2789.01</v>
      </c>
      <c r="I76" s="5"/>
    </row>
    <row r="77" spans="1:9" ht="41.25" customHeight="1">
      <c r="A77" s="25" t="s">
        <v>97</v>
      </c>
      <c r="B77" s="293" t="s">
        <v>337</v>
      </c>
      <c r="C77" s="294"/>
      <c r="D77" s="294"/>
      <c r="E77" s="294"/>
      <c r="F77" s="294"/>
      <c r="G77" s="294"/>
      <c r="H77" s="295"/>
    </row>
    <row r="78" spans="1:9">
      <c r="A78" s="86" t="s">
        <v>98</v>
      </c>
      <c r="B78" s="78"/>
      <c r="C78" s="188" t="s">
        <v>20</v>
      </c>
      <c r="D78" s="96"/>
      <c r="E78" s="79"/>
      <c r="F78" s="79"/>
      <c r="G78" s="80">
        <f t="shared" ref="G78:G91" si="10">ROUND(F78+(F78*$H$10),2)</f>
        <v>0</v>
      </c>
      <c r="H78" s="81">
        <f t="shared" ref="H78:H91" si="11">ROUND((E78*G78),2)</f>
        <v>0</v>
      </c>
    </row>
    <row r="79" spans="1:9" ht="25.5">
      <c r="A79" s="82" t="s">
        <v>99</v>
      </c>
      <c r="B79" s="68" t="s">
        <v>45</v>
      </c>
      <c r="C79" s="76" t="s">
        <v>57</v>
      </c>
      <c r="D79" s="73" t="s">
        <v>58</v>
      </c>
      <c r="E79" s="71">
        <f>'Memoria de calculo'!E69</f>
        <v>35.1</v>
      </c>
      <c r="F79" s="224">
        <v>2.71</v>
      </c>
      <c r="G79" s="74">
        <f t="shared" si="10"/>
        <v>3.52</v>
      </c>
      <c r="H79" s="83">
        <f t="shared" si="11"/>
        <v>123.55</v>
      </c>
    </row>
    <row r="80" spans="1:9" ht="51">
      <c r="A80" s="82" t="s">
        <v>100</v>
      </c>
      <c r="B80" s="68" t="s">
        <v>47</v>
      </c>
      <c r="C80" s="194" t="s">
        <v>242</v>
      </c>
      <c r="D80" s="73" t="s">
        <v>60</v>
      </c>
      <c r="E80" s="71">
        <f>'Memoria de calculo'!E70</f>
        <v>280.8</v>
      </c>
      <c r="F80" s="224">
        <v>3.2</v>
      </c>
      <c r="G80" s="74">
        <f t="shared" si="10"/>
        <v>4.1500000000000004</v>
      </c>
      <c r="H80" s="83">
        <f t="shared" si="11"/>
        <v>1165.32</v>
      </c>
    </row>
    <row r="81" spans="1:9" ht="25.5">
      <c r="A81" s="82" t="s">
        <v>101</v>
      </c>
      <c r="B81" s="73" t="s">
        <v>22</v>
      </c>
      <c r="C81" s="76" t="s">
        <v>23</v>
      </c>
      <c r="D81" s="70" t="s">
        <v>36</v>
      </c>
      <c r="E81" s="71">
        <f>'Memoria de calculo'!E71</f>
        <v>234</v>
      </c>
      <c r="F81" s="224">
        <v>0.78</v>
      </c>
      <c r="G81" s="74">
        <f t="shared" si="10"/>
        <v>1.01</v>
      </c>
      <c r="H81" s="83">
        <f t="shared" si="11"/>
        <v>236.34</v>
      </c>
    </row>
    <row r="82" spans="1:9">
      <c r="A82" s="82" t="s">
        <v>102</v>
      </c>
      <c r="B82" s="68" t="s">
        <v>50</v>
      </c>
      <c r="C82" s="182" t="s">
        <v>271</v>
      </c>
      <c r="D82" s="73" t="s">
        <v>58</v>
      </c>
      <c r="E82" s="71">
        <f>'Memoria de calculo'!E72</f>
        <v>35.1</v>
      </c>
      <c r="F82" s="224">
        <v>32.46</v>
      </c>
      <c r="G82" s="74">
        <f t="shared" si="10"/>
        <v>42.12</v>
      </c>
      <c r="H82" s="83">
        <f t="shared" si="11"/>
        <v>1478.41</v>
      </c>
    </row>
    <row r="83" spans="1:9" ht="38.25">
      <c r="A83" s="82" t="s">
        <v>103</v>
      </c>
      <c r="B83" s="73" t="s">
        <v>52</v>
      </c>
      <c r="C83" s="194" t="s">
        <v>243</v>
      </c>
      <c r="D83" s="73" t="s">
        <v>60</v>
      </c>
      <c r="E83" s="71">
        <f>'Memoria de calculo'!E73</f>
        <v>414.18</v>
      </c>
      <c r="F83" s="224">
        <v>0.93</v>
      </c>
      <c r="G83" s="74">
        <f t="shared" si="10"/>
        <v>1.21</v>
      </c>
      <c r="H83" s="83">
        <f t="shared" si="11"/>
        <v>501.16</v>
      </c>
    </row>
    <row r="84" spans="1:9" ht="76.5">
      <c r="A84" s="82" t="s">
        <v>104</v>
      </c>
      <c r="B84" s="73" t="s">
        <v>24</v>
      </c>
      <c r="C84" s="194" t="s">
        <v>244</v>
      </c>
      <c r="D84" s="73" t="s">
        <v>58</v>
      </c>
      <c r="E84" s="71">
        <f>'Memoria de calculo'!E74</f>
        <v>35.1</v>
      </c>
      <c r="F84" s="224">
        <v>13.51</v>
      </c>
      <c r="G84" s="74">
        <f t="shared" si="10"/>
        <v>17.53</v>
      </c>
      <c r="H84" s="83">
        <f t="shared" si="11"/>
        <v>615.29999999999995</v>
      </c>
    </row>
    <row r="85" spans="1:9" ht="38.25">
      <c r="A85" s="82" t="s">
        <v>107</v>
      </c>
      <c r="B85" s="73" t="s">
        <v>27</v>
      </c>
      <c r="C85" s="194" t="s">
        <v>235</v>
      </c>
      <c r="D85" s="70" t="s">
        <v>36</v>
      </c>
      <c r="E85" s="71">
        <f>'Memoria de calculo'!E75</f>
        <v>234</v>
      </c>
      <c r="F85" s="224">
        <v>6.73</v>
      </c>
      <c r="G85" s="74">
        <f t="shared" si="10"/>
        <v>8.73</v>
      </c>
      <c r="H85" s="83">
        <f t="shared" si="11"/>
        <v>2042.82</v>
      </c>
    </row>
    <row r="86" spans="1:9" ht="51">
      <c r="A86" s="82" t="s">
        <v>106</v>
      </c>
      <c r="B86" s="73" t="s">
        <v>26</v>
      </c>
      <c r="C86" s="194" t="s">
        <v>237</v>
      </c>
      <c r="D86" s="70" t="s">
        <v>36</v>
      </c>
      <c r="E86" s="71">
        <f>'Memoria de calculo'!E76</f>
        <v>210</v>
      </c>
      <c r="F86" s="224">
        <v>1.28</v>
      </c>
      <c r="G86" s="74">
        <f t="shared" si="10"/>
        <v>1.66</v>
      </c>
      <c r="H86" s="83">
        <f t="shared" si="11"/>
        <v>348.6</v>
      </c>
    </row>
    <row r="87" spans="1:9" ht="38.25">
      <c r="A87" s="185" t="s">
        <v>183</v>
      </c>
      <c r="B87" s="73" t="s">
        <v>25</v>
      </c>
      <c r="C87" s="194" t="s">
        <v>236</v>
      </c>
      <c r="D87" s="70" t="s">
        <v>62</v>
      </c>
      <c r="E87" s="71">
        <f>'Memoria de calculo'!E77</f>
        <v>185.64</v>
      </c>
      <c r="F87" s="224">
        <v>0.46</v>
      </c>
      <c r="G87" s="74">
        <f t="shared" si="10"/>
        <v>0.6</v>
      </c>
      <c r="H87" s="83">
        <f t="shared" si="11"/>
        <v>111.38</v>
      </c>
    </row>
    <row r="88" spans="1:9" s="20" customFormat="1" ht="54.75" customHeight="1">
      <c r="A88" s="82" t="s">
        <v>105</v>
      </c>
      <c r="B88" s="237" t="s">
        <v>355</v>
      </c>
      <c r="C88" s="238" t="s">
        <v>356</v>
      </c>
      <c r="D88" s="239" t="s">
        <v>60</v>
      </c>
      <c r="E88" s="240">
        <f>'Memoria de calculo'!E78</f>
        <v>22.226399999999998</v>
      </c>
      <c r="F88" s="240">
        <v>1.17</v>
      </c>
      <c r="G88" s="240">
        <f>ROUND(F88*(H10+1),2)</f>
        <v>1.52</v>
      </c>
      <c r="H88" s="242">
        <f t="shared" ref="H88" si="12">G88*E88</f>
        <v>33.784127999999995</v>
      </c>
      <c r="I88" s="229"/>
    </row>
    <row r="89" spans="1:9" s="20" customFormat="1" ht="51.75" customHeight="1">
      <c r="A89" s="82" t="s">
        <v>106</v>
      </c>
      <c r="B89" s="237" t="s">
        <v>357</v>
      </c>
      <c r="C89" s="238" t="s">
        <v>358</v>
      </c>
      <c r="D89" s="239" t="s">
        <v>60</v>
      </c>
      <c r="E89" s="240">
        <f>'Memoria de calculo'!E79</f>
        <v>96.389999999999986</v>
      </c>
      <c r="F89" s="240">
        <v>0.7</v>
      </c>
      <c r="G89" s="240">
        <f>ROUND(F89*(H10+1),2)</f>
        <v>0.91</v>
      </c>
      <c r="H89" s="242">
        <f>G89*E89</f>
        <v>87.714899999999986</v>
      </c>
      <c r="I89" s="229"/>
    </row>
    <row r="90" spans="1:9" s="20" customFormat="1" ht="54.75" customHeight="1">
      <c r="A90" s="82" t="s">
        <v>183</v>
      </c>
      <c r="B90" s="237" t="s">
        <v>359</v>
      </c>
      <c r="C90" s="238" t="s">
        <v>360</v>
      </c>
      <c r="D90" s="239" t="s">
        <v>60</v>
      </c>
      <c r="E90" s="240">
        <f>'Memoria de calculo'!E80</f>
        <v>541.79999999999995</v>
      </c>
      <c r="F90" s="240">
        <v>0.98</v>
      </c>
      <c r="G90" s="240">
        <f>ROUND(F90*(H10+1),2)</f>
        <v>1.27</v>
      </c>
      <c r="H90" s="242">
        <f>G90*E90</f>
        <v>688.0859999999999</v>
      </c>
      <c r="I90" s="229"/>
    </row>
    <row r="91" spans="1:9" ht="102">
      <c r="A91" s="185" t="s">
        <v>107</v>
      </c>
      <c r="B91" s="193" t="s">
        <v>276</v>
      </c>
      <c r="C91" s="194" t="s">
        <v>277</v>
      </c>
      <c r="D91" s="70" t="s">
        <v>58</v>
      </c>
      <c r="E91" s="71">
        <f>'Memoria de calculo'!E81</f>
        <v>6.3</v>
      </c>
      <c r="F91" s="224">
        <v>465.92</v>
      </c>
      <c r="G91" s="74">
        <f t="shared" si="10"/>
        <v>604.62</v>
      </c>
      <c r="H91" s="83">
        <f t="shared" si="11"/>
        <v>3809.11</v>
      </c>
    </row>
    <row r="92" spans="1:9">
      <c r="A92" s="82"/>
      <c r="B92" s="73"/>
      <c r="C92" s="274" t="s">
        <v>83</v>
      </c>
      <c r="D92" s="274"/>
      <c r="E92" s="274"/>
      <c r="F92" s="274"/>
      <c r="G92" s="274"/>
      <c r="H92" s="85">
        <f>SUM(H79:H91)</f>
        <v>11241.575028000001</v>
      </c>
    </row>
    <row r="93" spans="1:9">
      <c r="A93" s="82" t="s">
        <v>108</v>
      </c>
      <c r="B93" s="73"/>
      <c r="C93" s="72" t="s">
        <v>64</v>
      </c>
      <c r="D93" s="70"/>
      <c r="E93" s="71"/>
      <c r="F93" s="71"/>
      <c r="G93" s="74">
        <f>ROUND(F93+(F93*$H$10),2)</f>
        <v>0</v>
      </c>
      <c r="H93" s="83">
        <f>ROUND((E93*G93),2)</f>
        <v>0</v>
      </c>
    </row>
    <row r="94" spans="1:9" ht="51">
      <c r="A94" s="82" t="s">
        <v>109</v>
      </c>
      <c r="B94" s="73" t="s">
        <v>66</v>
      </c>
      <c r="C94" s="182" t="s">
        <v>238</v>
      </c>
      <c r="D94" s="70" t="s">
        <v>67</v>
      </c>
      <c r="E94" s="71">
        <f>'Memoria de calculo'!E83</f>
        <v>60</v>
      </c>
      <c r="F94" s="223">
        <v>28.06</v>
      </c>
      <c r="G94" s="74">
        <f>ROUND(F94+(F94*$H$10),2)</f>
        <v>36.409999999999997</v>
      </c>
      <c r="H94" s="83">
        <f>ROUND((E94*G94),2)</f>
        <v>2184.6</v>
      </c>
    </row>
    <row r="95" spans="1:9">
      <c r="A95" s="92"/>
      <c r="B95" s="100"/>
      <c r="C95" s="271" t="s">
        <v>83</v>
      </c>
      <c r="D95" s="271"/>
      <c r="E95" s="271"/>
      <c r="F95" s="271"/>
      <c r="G95" s="271"/>
      <c r="H95" s="94">
        <f>SUM(H94)</f>
        <v>2184.6</v>
      </c>
      <c r="I95" s="5"/>
    </row>
    <row r="96" spans="1:9">
      <c r="A96" s="281" t="s">
        <v>31</v>
      </c>
      <c r="B96" s="281"/>
      <c r="C96" s="281"/>
      <c r="D96" s="281"/>
      <c r="E96" s="281"/>
      <c r="F96" s="281"/>
      <c r="G96" s="281"/>
      <c r="H96" s="77">
        <f>H19+H35+H38+H54+H57+H73+H76+H92+H95</f>
        <v>96408.576027564006</v>
      </c>
    </row>
    <row r="97" spans="1:8">
      <c r="A97" s="6"/>
      <c r="B97" s="6"/>
      <c r="C97" s="6"/>
      <c r="D97" s="6"/>
      <c r="E97" s="6"/>
      <c r="F97" s="6"/>
      <c r="G97" s="6"/>
      <c r="H97" s="7"/>
    </row>
    <row r="98" spans="1:8">
      <c r="A98" s="8"/>
      <c r="B98" s="8"/>
      <c r="C98" s="8"/>
      <c r="D98" s="8"/>
      <c r="E98" s="8"/>
      <c r="F98" s="8"/>
      <c r="G98" s="8"/>
      <c r="H98" s="8"/>
    </row>
    <row r="99" spans="1:8">
      <c r="A99" s="8"/>
      <c r="B99" s="280"/>
      <c r="C99" s="280"/>
      <c r="D99" s="8"/>
      <c r="E99" s="280"/>
      <c r="F99" s="280"/>
      <c r="G99" s="12"/>
      <c r="H99" s="8"/>
    </row>
    <row r="100" spans="1:8">
      <c r="A100" s="9"/>
      <c r="B100" s="278" t="s">
        <v>154</v>
      </c>
      <c r="C100" s="278"/>
      <c r="D100" s="9"/>
      <c r="E100" s="278" t="s">
        <v>153</v>
      </c>
      <c r="F100" s="278"/>
      <c r="G100" s="11"/>
      <c r="H100" s="9"/>
    </row>
    <row r="101" spans="1:8">
      <c r="B101" s="246" t="s">
        <v>157</v>
      </c>
      <c r="C101" s="246"/>
    </row>
    <row r="104" spans="1:8">
      <c r="A104" s="8"/>
      <c r="B104" s="280"/>
      <c r="C104" s="280"/>
      <c r="D104" s="8"/>
      <c r="E104" s="277"/>
      <c r="F104" s="277"/>
      <c r="G104" s="12"/>
      <c r="H104" s="8"/>
    </row>
    <row r="105" spans="1:8">
      <c r="A105" s="9"/>
      <c r="B105" s="278" t="s">
        <v>155</v>
      </c>
      <c r="C105" s="278"/>
      <c r="D105" s="9"/>
      <c r="E105" s="279"/>
      <c r="F105" s="279"/>
      <c r="G105" s="11"/>
      <c r="H105" s="9"/>
    </row>
    <row r="106" spans="1:8">
      <c r="B106" s="246" t="s">
        <v>156</v>
      </c>
      <c r="C106" s="246"/>
    </row>
    <row r="107" spans="1:8">
      <c r="B107" s="113"/>
      <c r="C107" s="113"/>
    </row>
  </sheetData>
  <mergeCells count="39">
    <mergeCell ref="C38:G38"/>
    <mergeCell ref="B20:H20"/>
    <mergeCell ref="B39:H39"/>
    <mergeCell ref="B58:H58"/>
    <mergeCell ref="B77:H77"/>
    <mergeCell ref="C54:G54"/>
    <mergeCell ref="C73:G73"/>
    <mergeCell ref="A1:H1"/>
    <mergeCell ref="E104:F104"/>
    <mergeCell ref="B105:C105"/>
    <mergeCell ref="E105:F105"/>
    <mergeCell ref="B104:C104"/>
    <mergeCell ref="B100:C100"/>
    <mergeCell ref="E100:F100"/>
    <mergeCell ref="E99:F99"/>
    <mergeCell ref="B99:C99"/>
    <mergeCell ref="A96:G96"/>
    <mergeCell ref="A3:H3"/>
    <mergeCell ref="C92:G92"/>
    <mergeCell ref="E8:H8"/>
    <mergeCell ref="A4:H4"/>
    <mergeCell ref="F6:H6"/>
    <mergeCell ref="C19:G19"/>
    <mergeCell ref="B106:C106"/>
    <mergeCell ref="B101:C101"/>
    <mergeCell ref="A2:H2"/>
    <mergeCell ref="F9:F10"/>
    <mergeCell ref="E9:E10"/>
    <mergeCell ref="F7:H7"/>
    <mergeCell ref="A6:E6"/>
    <mergeCell ref="A7:E7"/>
    <mergeCell ref="A8:D8"/>
    <mergeCell ref="A10:D10"/>
    <mergeCell ref="A9:D9"/>
    <mergeCell ref="A11:H11"/>
    <mergeCell ref="C76:G76"/>
    <mergeCell ref="B57:G57"/>
    <mergeCell ref="C95:G95"/>
    <mergeCell ref="C35:G35"/>
  </mergeCells>
  <phoneticPr fontId="2" type="noConversion"/>
  <printOptions horizontalCentered="1"/>
  <pageMargins left="0.78740157480314965" right="0.19685039370078741" top="0.39370078740157483" bottom="0.39370078740157483" header="0" footer="0"/>
  <pageSetup paperSize="9" scale="77" fitToHeight="0" orientation="portrait" horizontalDpi="300" verticalDpi="300" r:id="rId1"/>
  <headerFooter alignWithMargins="0"/>
  <drawing r:id="rId2"/>
  <legacyDrawing r:id="rId3"/>
  <oleObjects>
    <oleObject shapeId="102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O123"/>
  <sheetViews>
    <sheetView view="pageBreakPreview" topLeftCell="A77" zoomScale="85" zoomScaleSheetLayoutView="85" workbookViewId="0">
      <selection activeCell="E78" sqref="E78:E80"/>
    </sheetView>
  </sheetViews>
  <sheetFormatPr defaultRowHeight="12.75"/>
  <cols>
    <col min="1" max="1" width="9.7109375" style="23" customWidth="1"/>
    <col min="2" max="2" width="60.28515625" style="23" customWidth="1"/>
    <col min="3" max="3" width="48" style="23" customWidth="1"/>
    <col min="4" max="4" width="12.42578125" style="23" customWidth="1"/>
    <col min="5" max="5" width="16.42578125" style="162" customWidth="1"/>
    <col min="6" max="10" width="9.140625" style="20"/>
    <col min="11" max="11" width="23.5703125" style="20" customWidth="1"/>
    <col min="12" max="12" width="10.85546875" style="20" customWidth="1"/>
    <col min="13" max="16384" width="9.140625" style="20"/>
  </cols>
  <sheetData>
    <row r="1" spans="1:11" ht="99" customHeight="1" thickBot="1">
      <c r="A1" s="299" t="s">
        <v>84</v>
      </c>
      <c r="B1" s="300"/>
      <c r="C1" s="300"/>
      <c r="D1" s="300"/>
      <c r="E1" s="301"/>
    </row>
    <row r="2" spans="1:11" ht="21" customHeight="1" thickBot="1">
      <c r="A2" s="302" t="s">
        <v>161</v>
      </c>
      <c r="B2" s="303"/>
      <c r="C2" s="303"/>
      <c r="D2" s="303"/>
      <c r="E2" s="304"/>
    </row>
    <row r="3" spans="1:11" ht="12" customHeight="1">
      <c r="A3" s="114"/>
      <c r="B3" s="115"/>
      <c r="C3" s="115"/>
      <c r="D3" s="115"/>
      <c r="E3" s="116"/>
    </row>
    <row r="4" spans="1:11" ht="20.25" customHeight="1">
      <c r="A4" s="117" t="s">
        <v>162</v>
      </c>
      <c r="B4" s="118"/>
      <c r="C4" s="119"/>
      <c r="D4" s="119"/>
      <c r="E4" s="120"/>
    </row>
    <row r="5" spans="1:11" ht="12.75" customHeight="1">
      <c r="A5" s="117" t="s">
        <v>163</v>
      </c>
      <c r="B5" s="118"/>
      <c r="C5" s="119"/>
      <c r="D5" s="119"/>
      <c r="E5" s="121"/>
      <c r="H5" s="119"/>
      <c r="I5" s="119"/>
      <c r="J5" s="119"/>
      <c r="K5" s="119"/>
    </row>
    <row r="6" spans="1:11" ht="38.25" customHeight="1">
      <c r="A6" s="305" t="s">
        <v>265</v>
      </c>
      <c r="B6" s="306"/>
      <c r="C6" s="306"/>
      <c r="D6" s="306"/>
      <c r="E6" s="307"/>
      <c r="G6" s="143">
        <f>E20+E37+E54+E71+E88+E102</f>
        <v>1471.81</v>
      </c>
      <c r="H6" s="122"/>
      <c r="I6" s="119"/>
      <c r="J6" s="119"/>
      <c r="K6" s="122"/>
    </row>
    <row r="7" spans="1:11" ht="18.75" customHeight="1">
      <c r="A7" s="308" t="s">
        <v>330</v>
      </c>
      <c r="B7" s="309"/>
      <c r="C7" s="119"/>
      <c r="D7" s="119"/>
      <c r="E7" s="121"/>
      <c r="H7" s="122"/>
      <c r="I7" s="119"/>
      <c r="J7" s="119"/>
      <c r="K7" s="122"/>
    </row>
    <row r="8" spans="1:11" ht="8.25" customHeight="1">
      <c r="A8" s="213"/>
      <c r="B8" s="119"/>
      <c r="C8" s="119"/>
      <c r="D8" s="119"/>
      <c r="E8" s="120"/>
      <c r="H8" s="119"/>
      <c r="I8" s="119"/>
      <c r="J8" s="119"/>
      <c r="K8" s="119"/>
    </row>
    <row r="9" spans="1:11" ht="24.75" customHeight="1">
      <c r="A9" s="16" t="s">
        <v>0</v>
      </c>
      <c r="B9" s="18" t="s">
        <v>1</v>
      </c>
      <c r="C9" s="18" t="s">
        <v>164</v>
      </c>
      <c r="D9" s="18" t="s">
        <v>3</v>
      </c>
      <c r="E9" s="216" t="s">
        <v>2</v>
      </c>
      <c r="H9" s="119"/>
      <c r="I9" s="119"/>
      <c r="J9" s="119"/>
      <c r="K9" s="119"/>
    </row>
    <row r="10" spans="1:11">
      <c r="A10" s="214" t="s">
        <v>42</v>
      </c>
      <c r="B10" s="215" t="s">
        <v>16</v>
      </c>
      <c r="C10" s="215"/>
      <c r="D10" s="146"/>
      <c r="E10" s="147"/>
      <c r="H10" s="119"/>
      <c r="I10" s="119"/>
      <c r="J10" s="119"/>
      <c r="K10" s="119"/>
    </row>
    <row r="11" spans="1:11" ht="102">
      <c r="A11" s="123" t="s">
        <v>165</v>
      </c>
      <c r="B11" s="190" t="s">
        <v>34</v>
      </c>
      <c r="C11" s="124" t="s">
        <v>264</v>
      </c>
      <c r="D11" s="125" t="s">
        <v>35</v>
      </c>
      <c r="E11" s="126">
        <v>1</v>
      </c>
      <c r="H11" s="119"/>
    </row>
    <row r="12" spans="1:11" ht="84" customHeight="1">
      <c r="A12" s="123" t="s">
        <v>166</v>
      </c>
      <c r="B12" s="190" t="s">
        <v>266</v>
      </c>
      <c r="C12" s="127" t="s">
        <v>320</v>
      </c>
      <c r="D12" s="184" t="s">
        <v>268</v>
      </c>
      <c r="E12" s="126">
        <f>ROUND(F12/20,0)</f>
        <v>11</v>
      </c>
      <c r="F12" s="126">
        <f>45.5+38.6+96.88+30</f>
        <v>210.98</v>
      </c>
      <c r="H12" s="128"/>
      <c r="K12" s="20">
        <f>L21+L38+L55+L72+K86+L103</f>
        <v>1300.23</v>
      </c>
    </row>
    <row r="13" spans="1:11" ht="42.75" customHeight="1">
      <c r="A13" s="129" t="s">
        <v>167</v>
      </c>
      <c r="B13" s="183" t="s">
        <v>168</v>
      </c>
      <c r="C13" s="130" t="s">
        <v>169</v>
      </c>
      <c r="D13" s="184" t="s">
        <v>40</v>
      </c>
      <c r="E13" s="126">
        <v>0.5</v>
      </c>
      <c r="F13" s="20">
        <f>550000*(0.5%)</f>
        <v>2750</v>
      </c>
      <c r="H13" s="131"/>
    </row>
    <row r="14" spans="1:11" ht="51">
      <c r="A14" s="129" t="s">
        <v>170</v>
      </c>
      <c r="B14" s="183" t="s">
        <v>274</v>
      </c>
      <c r="C14" s="124" t="s">
        <v>275</v>
      </c>
      <c r="D14" s="184" t="s">
        <v>3</v>
      </c>
      <c r="E14" s="126">
        <v>1</v>
      </c>
    </row>
    <row r="15" spans="1:11" ht="30" customHeight="1">
      <c r="A15" s="129" t="s">
        <v>231</v>
      </c>
      <c r="B15" s="183" t="s">
        <v>158</v>
      </c>
      <c r="C15" s="124" t="s">
        <v>230</v>
      </c>
      <c r="D15" s="184" t="s">
        <v>160</v>
      </c>
      <c r="E15" s="126">
        <v>2</v>
      </c>
    </row>
    <row r="16" spans="1:11">
      <c r="A16" s="129" t="s">
        <v>43</v>
      </c>
      <c r="B16" s="296" t="s">
        <v>334</v>
      </c>
      <c r="C16" s="297"/>
      <c r="D16" s="297"/>
      <c r="E16" s="298"/>
    </row>
    <row r="17" spans="1:15">
      <c r="A17" s="132" t="s">
        <v>171</v>
      </c>
      <c r="B17" s="133" t="s">
        <v>20</v>
      </c>
      <c r="C17" s="134"/>
      <c r="D17" s="125"/>
      <c r="E17" s="126"/>
    </row>
    <row r="18" spans="1:15" ht="48" customHeight="1">
      <c r="A18" s="132" t="s">
        <v>44</v>
      </c>
      <c r="B18" s="76" t="s">
        <v>57</v>
      </c>
      <c r="C18" s="124" t="s">
        <v>279</v>
      </c>
      <c r="D18" s="135" t="s">
        <v>58</v>
      </c>
      <c r="E18" s="126">
        <f>ROUND(L23*0.15,2)</f>
        <v>101.72</v>
      </c>
      <c r="F18" s="20">
        <v>8</v>
      </c>
    </row>
    <row r="19" spans="1:15" ht="36" customHeight="1">
      <c r="A19" s="132" t="s">
        <v>46</v>
      </c>
      <c r="B19" s="76" t="s">
        <v>59</v>
      </c>
      <c r="C19" s="136" t="s">
        <v>309</v>
      </c>
      <c r="D19" s="135" t="s">
        <v>60</v>
      </c>
      <c r="E19" s="126">
        <f>E18*F18</f>
        <v>813.76</v>
      </c>
      <c r="H19" s="137"/>
      <c r="I19" s="138"/>
      <c r="J19" s="138"/>
    </row>
    <row r="20" spans="1:15" ht="39.75" customHeight="1">
      <c r="A20" s="132" t="s">
        <v>48</v>
      </c>
      <c r="B20" s="76" t="s">
        <v>23</v>
      </c>
      <c r="C20" s="124" t="s">
        <v>280</v>
      </c>
      <c r="D20" s="125" t="s">
        <v>36</v>
      </c>
      <c r="E20" s="126">
        <f>L23</f>
        <v>678.16</v>
      </c>
      <c r="F20" s="20">
        <f>ROUND(E20*0.15,2)</f>
        <v>101.72</v>
      </c>
      <c r="H20" s="137"/>
      <c r="I20" s="139"/>
      <c r="J20" s="138"/>
    </row>
    <row r="21" spans="1:15" ht="24">
      <c r="A21" s="132" t="s">
        <v>49</v>
      </c>
      <c r="B21" s="182" t="s">
        <v>271</v>
      </c>
      <c r="C21" s="124" t="s">
        <v>310</v>
      </c>
      <c r="D21" s="135" t="s">
        <v>58</v>
      </c>
      <c r="E21" s="126">
        <f>F20</f>
        <v>101.72</v>
      </c>
      <c r="F21" s="20">
        <f>E21*11.8</f>
        <v>1200.296</v>
      </c>
      <c r="J21" s="122" t="s">
        <v>172</v>
      </c>
      <c r="K21" s="119"/>
      <c r="L21" s="217">
        <v>600.66</v>
      </c>
    </row>
    <row r="22" spans="1:15" ht="25.5">
      <c r="A22" s="132" t="s">
        <v>51</v>
      </c>
      <c r="B22" s="76" t="s">
        <v>61</v>
      </c>
      <c r="C22" s="124" t="s">
        <v>311</v>
      </c>
      <c r="D22" s="135" t="s">
        <v>60</v>
      </c>
      <c r="E22" s="126">
        <f>F21</f>
        <v>1200.296</v>
      </c>
      <c r="J22" s="122" t="s">
        <v>173</v>
      </c>
      <c r="K22" s="142"/>
      <c r="L22" s="220">
        <v>193.77</v>
      </c>
      <c r="M22" s="21" t="s">
        <v>174</v>
      </c>
      <c r="O22" s="20">
        <f>62.86+65.38</f>
        <v>128.24</v>
      </c>
    </row>
    <row r="23" spans="1:15" ht="76.5">
      <c r="A23" s="132" t="s">
        <v>53</v>
      </c>
      <c r="B23" s="194" t="s">
        <v>234</v>
      </c>
      <c r="C23" s="124" t="s">
        <v>312</v>
      </c>
      <c r="D23" s="140" t="s">
        <v>58</v>
      </c>
      <c r="E23" s="141">
        <f>E18</f>
        <v>101.72</v>
      </c>
      <c r="F23" s="20">
        <v>160.131</v>
      </c>
      <c r="G23" s="143">
        <f>E20</f>
        <v>678.16</v>
      </c>
      <c r="J23" s="144" t="s">
        <v>175</v>
      </c>
      <c r="K23" s="145"/>
      <c r="L23" s="219">
        <v>678.16</v>
      </c>
    </row>
    <row r="24" spans="1:15" ht="38.25">
      <c r="A24" s="132" t="s">
        <v>54</v>
      </c>
      <c r="B24" s="194" t="s">
        <v>235</v>
      </c>
      <c r="C24" s="124" t="s">
        <v>354</v>
      </c>
      <c r="D24" s="125" t="s">
        <v>36</v>
      </c>
      <c r="E24" s="126">
        <f>L23</f>
        <v>678.16</v>
      </c>
    </row>
    <row r="25" spans="1:15" ht="63" customHeight="1">
      <c r="A25" s="132" t="s">
        <v>55</v>
      </c>
      <c r="B25" s="194" t="s">
        <v>237</v>
      </c>
      <c r="C25" s="124" t="s">
        <v>313</v>
      </c>
      <c r="D25" s="146" t="s">
        <v>36</v>
      </c>
      <c r="E25" s="147">
        <f>L21</f>
        <v>600.66</v>
      </c>
    </row>
    <row r="26" spans="1:15" ht="48">
      <c r="A26" s="132" t="s">
        <v>176</v>
      </c>
      <c r="B26" s="194" t="s">
        <v>236</v>
      </c>
      <c r="C26" s="136" t="s">
        <v>281</v>
      </c>
      <c r="D26" s="125" t="s">
        <v>62</v>
      </c>
      <c r="E26" s="126">
        <f>E25*520*(0.0012+0.0005)</f>
        <v>530.98343999999997</v>
      </c>
    </row>
    <row r="27" spans="1:15" ht="36">
      <c r="A27" s="132" t="s">
        <v>56</v>
      </c>
      <c r="B27" s="183" t="s">
        <v>339</v>
      </c>
      <c r="C27" s="124" t="s">
        <v>373</v>
      </c>
      <c r="D27" s="184" t="s">
        <v>60</v>
      </c>
      <c r="E27" s="228">
        <f>E25*0.03*1.26*2.8</f>
        <v>63.573854400000002</v>
      </c>
    </row>
    <row r="28" spans="1:15" ht="40.5" customHeight="1">
      <c r="A28" s="132" t="s">
        <v>338</v>
      </c>
      <c r="B28" s="190" t="s">
        <v>341</v>
      </c>
      <c r="C28" s="124" t="s">
        <v>345</v>
      </c>
      <c r="D28" s="184" t="s">
        <v>60</v>
      </c>
      <c r="E28" s="228">
        <f>E25*0.03*0.18*85</f>
        <v>275.70293999999996</v>
      </c>
    </row>
    <row r="29" spans="1:15" ht="25.5">
      <c r="A29" s="132" t="s">
        <v>340</v>
      </c>
      <c r="B29" s="190" t="s">
        <v>343</v>
      </c>
      <c r="C29" s="124" t="s">
        <v>344</v>
      </c>
      <c r="D29" s="184" t="s">
        <v>60</v>
      </c>
      <c r="E29" s="228">
        <f>E25*0.03*86</f>
        <v>1549.7028</v>
      </c>
    </row>
    <row r="30" spans="1:15" ht="76.5">
      <c r="A30" s="132" t="s">
        <v>342</v>
      </c>
      <c r="B30" s="194" t="s">
        <v>277</v>
      </c>
      <c r="C30" s="124" t="s">
        <v>282</v>
      </c>
      <c r="D30" s="125" t="s">
        <v>58</v>
      </c>
      <c r="E30" s="126">
        <f>E25*0.03</f>
        <v>18.0198</v>
      </c>
    </row>
    <row r="31" spans="1:15" ht="15.75" customHeight="1">
      <c r="A31" s="132" t="s">
        <v>63</v>
      </c>
      <c r="B31" s="133" t="s">
        <v>177</v>
      </c>
      <c r="C31" s="134"/>
      <c r="D31" s="125"/>
      <c r="E31" s="126"/>
    </row>
    <row r="32" spans="1:15" ht="69" customHeight="1">
      <c r="A32" s="148" t="s">
        <v>65</v>
      </c>
      <c r="B32" s="182" t="s">
        <v>238</v>
      </c>
      <c r="C32" s="186" t="s">
        <v>314</v>
      </c>
      <c r="D32" s="125" t="s">
        <v>67</v>
      </c>
      <c r="E32" s="126">
        <f>L22</f>
        <v>193.77</v>
      </c>
    </row>
    <row r="33" spans="1:13">
      <c r="A33" s="129" t="s">
        <v>85</v>
      </c>
      <c r="B33" s="296" t="s">
        <v>335</v>
      </c>
      <c r="C33" s="297"/>
      <c r="D33" s="297"/>
      <c r="E33" s="298"/>
    </row>
    <row r="34" spans="1:13">
      <c r="A34" s="132" t="s">
        <v>178</v>
      </c>
      <c r="B34" s="133" t="s">
        <v>20</v>
      </c>
      <c r="C34" s="134"/>
      <c r="D34" s="149"/>
      <c r="E34" s="126"/>
    </row>
    <row r="35" spans="1:13" ht="36">
      <c r="A35" s="132" t="s">
        <v>86</v>
      </c>
      <c r="B35" s="76" t="s">
        <v>57</v>
      </c>
      <c r="C35" s="124" t="s">
        <v>283</v>
      </c>
      <c r="D35" s="135" t="s">
        <v>58</v>
      </c>
      <c r="E35" s="126">
        <f>ROUND(L40*0.15,2)</f>
        <v>43</v>
      </c>
      <c r="F35" s="20">
        <v>8</v>
      </c>
    </row>
    <row r="36" spans="1:13" ht="49.5" customHeight="1">
      <c r="A36" s="132" t="s">
        <v>87</v>
      </c>
      <c r="B36" s="76" t="s">
        <v>59</v>
      </c>
      <c r="C36" s="136" t="s">
        <v>284</v>
      </c>
      <c r="D36" s="135" t="s">
        <v>60</v>
      </c>
      <c r="E36" s="126">
        <f>E35*F35</f>
        <v>344</v>
      </c>
      <c r="H36" s="137"/>
      <c r="I36" s="138"/>
      <c r="J36" s="138"/>
    </row>
    <row r="37" spans="1:13" ht="39.75" customHeight="1">
      <c r="A37" s="132" t="s">
        <v>88</v>
      </c>
      <c r="B37" s="76" t="s">
        <v>23</v>
      </c>
      <c r="C37" s="124" t="s">
        <v>285</v>
      </c>
      <c r="D37" s="149" t="s">
        <v>36</v>
      </c>
      <c r="E37" s="126">
        <f>L40</f>
        <v>286.64999999999998</v>
      </c>
      <c r="F37" s="20">
        <f>ROUND(E37*0.15,2)</f>
        <v>43</v>
      </c>
      <c r="H37" s="137"/>
      <c r="I37" s="139"/>
      <c r="J37" s="138"/>
    </row>
    <row r="38" spans="1:13" ht="36">
      <c r="A38" s="132" t="s">
        <v>89</v>
      </c>
      <c r="B38" s="182" t="s">
        <v>271</v>
      </c>
      <c r="C38" s="124" t="s">
        <v>286</v>
      </c>
      <c r="D38" s="135" t="s">
        <v>58</v>
      </c>
      <c r="E38" s="126">
        <f>F37</f>
        <v>43</v>
      </c>
      <c r="F38" s="20">
        <f>E38*11.8</f>
        <v>507.40000000000003</v>
      </c>
      <c r="J38" s="122" t="s">
        <v>172</v>
      </c>
      <c r="K38" s="119"/>
      <c r="L38" s="221">
        <v>250.25</v>
      </c>
    </row>
    <row r="39" spans="1:13" ht="25.5">
      <c r="A39" s="132" t="s">
        <v>90</v>
      </c>
      <c r="B39" s="76" t="s">
        <v>61</v>
      </c>
      <c r="C39" s="124" t="s">
        <v>287</v>
      </c>
      <c r="D39" s="135" t="s">
        <v>60</v>
      </c>
      <c r="E39" s="126">
        <f>F38</f>
        <v>507.40000000000003</v>
      </c>
      <c r="J39" s="122" t="s">
        <v>173</v>
      </c>
      <c r="K39" s="142"/>
      <c r="L39" s="218">
        <v>91</v>
      </c>
      <c r="M39" s="21" t="s">
        <v>174</v>
      </c>
    </row>
    <row r="40" spans="1:13" ht="76.5">
      <c r="A40" s="132" t="s">
        <v>91</v>
      </c>
      <c r="B40" s="194" t="s">
        <v>234</v>
      </c>
      <c r="C40" s="124" t="s">
        <v>288</v>
      </c>
      <c r="D40" s="140" t="s">
        <v>58</v>
      </c>
      <c r="E40" s="141">
        <f>E35</f>
        <v>43</v>
      </c>
      <c r="F40" s="20">
        <v>160.131</v>
      </c>
      <c r="G40" s="143">
        <f>E37</f>
        <v>286.64999999999998</v>
      </c>
      <c r="J40" s="144" t="s">
        <v>175</v>
      </c>
      <c r="K40" s="145"/>
      <c r="L40" s="222">
        <v>286.64999999999998</v>
      </c>
    </row>
    <row r="41" spans="1:13" ht="73.5" customHeight="1">
      <c r="A41" s="132" t="s">
        <v>92</v>
      </c>
      <c r="B41" s="194" t="s">
        <v>235</v>
      </c>
      <c r="C41" s="124" t="s">
        <v>353</v>
      </c>
      <c r="D41" s="149" t="s">
        <v>36</v>
      </c>
      <c r="E41" s="126">
        <f>L40</f>
        <v>286.64999999999998</v>
      </c>
    </row>
    <row r="42" spans="1:13" ht="75.75" customHeight="1">
      <c r="A42" s="132" t="s">
        <v>93</v>
      </c>
      <c r="B42" s="194" t="s">
        <v>237</v>
      </c>
      <c r="C42" s="124" t="s">
        <v>289</v>
      </c>
      <c r="D42" s="150" t="s">
        <v>36</v>
      </c>
      <c r="E42" s="147">
        <f>L38</f>
        <v>250.25</v>
      </c>
    </row>
    <row r="43" spans="1:13" ht="66" customHeight="1">
      <c r="A43" s="132" t="s">
        <v>179</v>
      </c>
      <c r="B43" s="194" t="s">
        <v>236</v>
      </c>
      <c r="C43" s="136" t="s">
        <v>290</v>
      </c>
      <c r="D43" s="149" t="s">
        <v>62</v>
      </c>
      <c r="E43" s="126">
        <f>E42*520*(0.0012+0.0005)</f>
        <v>221.22099999999998</v>
      </c>
    </row>
    <row r="44" spans="1:13" ht="36">
      <c r="A44" s="132" t="s">
        <v>94</v>
      </c>
      <c r="B44" s="183" t="s">
        <v>339</v>
      </c>
      <c r="C44" s="124" t="s">
        <v>347</v>
      </c>
      <c r="D44" s="184" t="s">
        <v>60</v>
      </c>
      <c r="E44" s="228">
        <f>E42*0.03*1.26*2.8</f>
        <v>26.486459999999994</v>
      </c>
    </row>
    <row r="45" spans="1:13" ht="40.5" customHeight="1">
      <c r="A45" s="132" t="s">
        <v>364</v>
      </c>
      <c r="B45" s="190" t="s">
        <v>341</v>
      </c>
      <c r="C45" s="124" t="s">
        <v>346</v>
      </c>
      <c r="D45" s="184" t="s">
        <v>60</v>
      </c>
      <c r="E45" s="228">
        <f>E42*0.03*0.18*85</f>
        <v>114.86474999999999</v>
      </c>
    </row>
    <row r="46" spans="1:13" ht="25.5">
      <c r="A46" s="132" t="s">
        <v>365</v>
      </c>
      <c r="B46" s="190" t="s">
        <v>343</v>
      </c>
      <c r="C46" s="124" t="s">
        <v>348</v>
      </c>
      <c r="D46" s="184" t="s">
        <v>60</v>
      </c>
      <c r="E46" s="228">
        <f>E42*0.03*86</f>
        <v>645.64499999999998</v>
      </c>
    </row>
    <row r="47" spans="1:13" ht="76.5">
      <c r="A47" s="132" t="s">
        <v>366</v>
      </c>
      <c r="B47" s="194" t="s">
        <v>277</v>
      </c>
      <c r="C47" s="124" t="s">
        <v>315</v>
      </c>
      <c r="D47" s="149" t="s">
        <v>58</v>
      </c>
      <c r="E47" s="126">
        <f>E42*0.03</f>
        <v>7.5074999999999994</v>
      </c>
    </row>
    <row r="48" spans="1:13">
      <c r="A48" s="132" t="s">
        <v>95</v>
      </c>
      <c r="B48" s="133" t="s">
        <v>177</v>
      </c>
      <c r="C48" s="134"/>
      <c r="D48" s="149"/>
      <c r="E48" s="126"/>
    </row>
    <row r="49" spans="1:15" ht="93.75" customHeight="1">
      <c r="A49" s="148" t="s">
        <v>96</v>
      </c>
      <c r="B49" s="182" t="s">
        <v>238</v>
      </c>
      <c r="C49" s="186" t="s">
        <v>291</v>
      </c>
      <c r="D49" s="149" t="s">
        <v>67</v>
      </c>
      <c r="E49" s="126">
        <f>L39</f>
        <v>91</v>
      </c>
    </row>
    <row r="50" spans="1:15">
      <c r="A50" s="129" t="s">
        <v>68</v>
      </c>
      <c r="B50" s="296" t="s">
        <v>336</v>
      </c>
      <c r="C50" s="297"/>
      <c r="D50" s="297"/>
      <c r="E50" s="298"/>
    </row>
    <row r="51" spans="1:15">
      <c r="A51" s="132" t="s">
        <v>180</v>
      </c>
      <c r="B51" s="133" t="s">
        <v>20</v>
      </c>
      <c r="C51" s="134"/>
      <c r="D51" s="149"/>
      <c r="E51" s="126"/>
    </row>
    <row r="52" spans="1:15" ht="25.5">
      <c r="A52" s="132" t="s">
        <v>69</v>
      </c>
      <c r="B52" s="76" t="s">
        <v>57</v>
      </c>
      <c r="C52" s="124" t="s">
        <v>298</v>
      </c>
      <c r="D52" s="135" t="s">
        <v>58</v>
      </c>
      <c r="E52" s="126">
        <f>ROUND(L57*0.15,2)</f>
        <v>40.950000000000003</v>
      </c>
      <c r="F52" s="20">
        <v>8</v>
      </c>
    </row>
    <row r="53" spans="1:15" ht="61.5" customHeight="1">
      <c r="A53" s="132" t="s">
        <v>70</v>
      </c>
      <c r="B53" s="76" t="s">
        <v>59</v>
      </c>
      <c r="C53" s="136" t="s">
        <v>292</v>
      </c>
      <c r="D53" s="135" t="s">
        <v>60</v>
      </c>
      <c r="E53" s="126">
        <f>E52*F52</f>
        <v>327.60000000000002</v>
      </c>
      <c r="H53" s="137"/>
      <c r="I53" s="138"/>
      <c r="J53" s="138"/>
    </row>
    <row r="54" spans="1:15" ht="39.75" customHeight="1">
      <c r="A54" s="132" t="s">
        <v>71</v>
      </c>
      <c r="B54" s="76" t="s">
        <v>23</v>
      </c>
      <c r="C54" s="124" t="s">
        <v>316</v>
      </c>
      <c r="D54" s="149" t="s">
        <v>36</v>
      </c>
      <c r="E54" s="126">
        <f>L57</f>
        <v>273</v>
      </c>
      <c r="F54" s="20">
        <f>E54*0.15</f>
        <v>40.949999999999996</v>
      </c>
      <c r="H54" s="137"/>
      <c r="I54" s="139"/>
      <c r="J54" s="138"/>
    </row>
    <row r="55" spans="1:15" ht="24">
      <c r="A55" s="132" t="s">
        <v>72</v>
      </c>
      <c r="B55" s="182" t="s">
        <v>271</v>
      </c>
      <c r="C55" s="124" t="s">
        <v>293</v>
      </c>
      <c r="D55" s="135" t="s">
        <v>58</v>
      </c>
      <c r="E55" s="126">
        <f>F54</f>
        <v>40.949999999999996</v>
      </c>
      <c r="F55" s="20">
        <f>E55*11.8</f>
        <v>483.21</v>
      </c>
      <c r="J55" s="122" t="s">
        <v>172</v>
      </c>
      <c r="K55" s="119"/>
      <c r="L55" s="217">
        <v>239.32</v>
      </c>
    </row>
    <row r="56" spans="1:15" ht="25.5">
      <c r="A56" s="132" t="s">
        <v>73</v>
      </c>
      <c r="B56" s="76" t="s">
        <v>61</v>
      </c>
      <c r="C56" s="124" t="s">
        <v>294</v>
      </c>
      <c r="D56" s="135" t="s">
        <v>60</v>
      </c>
      <c r="E56" s="126">
        <f>F55</f>
        <v>483.21</v>
      </c>
      <c r="J56" s="122" t="s">
        <v>173</v>
      </c>
      <c r="K56" s="142"/>
      <c r="L56" s="220">
        <v>76.599999999999994</v>
      </c>
      <c r="M56" s="21" t="s">
        <v>174</v>
      </c>
      <c r="O56" s="20">
        <f>123.53</f>
        <v>123.53</v>
      </c>
    </row>
    <row r="57" spans="1:15" ht="76.5">
      <c r="A57" s="132" t="s">
        <v>74</v>
      </c>
      <c r="B57" s="194" t="s">
        <v>234</v>
      </c>
      <c r="C57" s="124" t="s">
        <v>317</v>
      </c>
      <c r="D57" s="140" t="s">
        <v>58</v>
      </c>
      <c r="E57" s="141">
        <f>E52</f>
        <v>40.950000000000003</v>
      </c>
      <c r="F57" s="20">
        <v>160.131</v>
      </c>
      <c r="G57" s="143">
        <f>E54</f>
        <v>273</v>
      </c>
      <c r="J57" s="144" t="s">
        <v>175</v>
      </c>
      <c r="K57" s="145"/>
      <c r="L57" s="219">
        <v>273</v>
      </c>
    </row>
    <row r="58" spans="1:15" ht="38.25">
      <c r="A58" s="132" t="s">
        <v>75</v>
      </c>
      <c r="B58" s="194" t="s">
        <v>235</v>
      </c>
      <c r="C58" s="124" t="s">
        <v>352</v>
      </c>
      <c r="D58" s="149" t="s">
        <v>36</v>
      </c>
      <c r="E58" s="126">
        <f>L57</f>
        <v>273</v>
      </c>
    </row>
    <row r="59" spans="1:15" ht="75" customHeight="1">
      <c r="A59" s="132" t="s">
        <v>76</v>
      </c>
      <c r="B59" s="194" t="s">
        <v>237</v>
      </c>
      <c r="C59" s="124" t="s">
        <v>295</v>
      </c>
      <c r="D59" s="150" t="s">
        <v>36</v>
      </c>
      <c r="E59" s="147">
        <f>L55</f>
        <v>239.32</v>
      </c>
    </row>
    <row r="60" spans="1:15" ht="48">
      <c r="A60" s="132" t="s">
        <v>181</v>
      </c>
      <c r="B60" s="194" t="s">
        <v>236</v>
      </c>
      <c r="C60" s="136" t="s">
        <v>299</v>
      </c>
      <c r="D60" s="149" t="s">
        <v>62</v>
      </c>
      <c r="E60" s="126">
        <f>E59*520*(0.0012+0.0005)</f>
        <v>211.55887999999999</v>
      </c>
    </row>
    <row r="61" spans="1:15" ht="36">
      <c r="A61" s="132" t="s">
        <v>77</v>
      </c>
      <c r="B61" s="183" t="s">
        <v>339</v>
      </c>
      <c r="C61" s="124" t="s">
        <v>349</v>
      </c>
      <c r="D61" s="184" t="s">
        <v>60</v>
      </c>
      <c r="E61" s="228">
        <f>E59*0.03*1.26*2.8</f>
        <v>25.329628799999998</v>
      </c>
    </row>
    <row r="62" spans="1:15" ht="40.5" customHeight="1">
      <c r="A62" s="132" t="s">
        <v>367</v>
      </c>
      <c r="B62" s="190" t="s">
        <v>341</v>
      </c>
      <c r="C62" s="124" t="s">
        <v>350</v>
      </c>
      <c r="D62" s="184" t="s">
        <v>60</v>
      </c>
      <c r="E62" s="228">
        <f>E58*0.03*0.18*85</f>
        <v>125.307</v>
      </c>
    </row>
    <row r="63" spans="1:15" ht="25.5">
      <c r="A63" s="132" t="s">
        <v>368</v>
      </c>
      <c r="B63" s="190" t="s">
        <v>343</v>
      </c>
      <c r="C63" s="124" t="s">
        <v>351</v>
      </c>
      <c r="D63" s="184" t="s">
        <v>60</v>
      </c>
      <c r="E63" s="228">
        <f>E59*0.03*86</f>
        <v>617.44560000000001</v>
      </c>
    </row>
    <row r="64" spans="1:15" ht="89.25">
      <c r="A64" s="132" t="s">
        <v>369</v>
      </c>
      <c r="B64" s="194" t="s">
        <v>239</v>
      </c>
      <c r="C64" s="124" t="s">
        <v>296</v>
      </c>
      <c r="D64" s="149" t="s">
        <v>58</v>
      </c>
      <c r="E64" s="126">
        <f>E59*0.03</f>
        <v>7.1795999999999998</v>
      </c>
    </row>
    <row r="65" spans="1:15">
      <c r="A65" s="132" t="s">
        <v>78</v>
      </c>
      <c r="B65" s="133" t="s">
        <v>177</v>
      </c>
      <c r="C65" s="134"/>
      <c r="D65" s="149"/>
      <c r="E65" s="126"/>
    </row>
    <row r="66" spans="1:15" ht="66" customHeight="1">
      <c r="A66" s="148" t="s">
        <v>79</v>
      </c>
      <c r="B66" s="182" t="s">
        <v>238</v>
      </c>
      <c r="C66" s="186" t="s">
        <v>297</v>
      </c>
      <c r="D66" s="149" t="s">
        <v>67</v>
      </c>
      <c r="E66" s="126">
        <f>L56</f>
        <v>76.599999999999994</v>
      </c>
    </row>
    <row r="67" spans="1:15">
      <c r="A67" s="129" t="s">
        <v>97</v>
      </c>
      <c r="B67" s="296" t="s">
        <v>337</v>
      </c>
      <c r="C67" s="297"/>
      <c r="D67" s="297"/>
      <c r="E67" s="298"/>
    </row>
    <row r="68" spans="1:15">
      <c r="A68" s="132" t="s">
        <v>182</v>
      </c>
      <c r="B68" s="133" t="s">
        <v>20</v>
      </c>
      <c r="C68" s="134"/>
      <c r="D68" s="149"/>
      <c r="E68" s="126"/>
    </row>
    <row r="69" spans="1:15" ht="25.5">
      <c r="A69" s="132" t="s">
        <v>99</v>
      </c>
      <c r="B69" s="194" t="s">
        <v>57</v>
      </c>
      <c r="C69" s="124" t="s">
        <v>300</v>
      </c>
      <c r="D69" s="135" t="s">
        <v>58</v>
      </c>
      <c r="E69" s="126">
        <f>ROUND(L74*0.15,2)</f>
        <v>35.1</v>
      </c>
      <c r="F69" s="20">
        <v>8</v>
      </c>
    </row>
    <row r="70" spans="1:15" ht="45.75" customHeight="1">
      <c r="A70" s="132" t="s">
        <v>100</v>
      </c>
      <c r="B70" s="76" t="s">
        <v>59</v>
      </c>
      <c r="C70" s="136" t="s">
        <v>301</v>
      </c>
      <c r="D70" s="135" t="s">
        <v>60</v>
      </c>
      <c r="E70" s="126">
        <f>E69*F69</f>
        <v>280.8</v>
      </c>
      <c r="H70" s="137"/>
      <c r="I70" s="138"/>
      <c r="J70" s="138"/>
    </row>
    <row r="71" spans="1:15" ht="39.75" customHeight="1">
      <c r="A71" s="132" t="s">
        <v>101</v>
      </c>
      <c r="B71" s="76" t="s">
        <v>23</v>
      </c>
      <c r="C71" s="124" t="s">
        <v>302</v>
      </c>
      <c r="D71" s="149" t="s">
        <v>36</v>
      </c>
      <c r="E71" s="126">
        <f>L74</f>
        <v>234</v>
      </c>
      <c r="F71" s="20">
        <f>E71*0.15</f>
        <v>35.1</v>
      </c>
      <c r="H71" s="137"/>
      <c r="I71" s="139"/>
      <c r="J71" s="138"/>
    </row>
    <row r="72" spans="1:15" ht="24">
      <c r="A72" s="132" t="s">
        <v>102</v>
      </c>
      <c r="B72" s="182" t="s">
        <v>271</v>
      </c>
      <c r="C72" s="124" t="s">
        <v>303</v>
      </c>
      <c r="D72" s="135" t="s">
        <v>58</v>
      </c>
      <c r="E72" s="126">
        <f>F71</f>
        <v>35.1</v>
      </c>
      <c r="F72" s="20">
        <f>ROUND(E72*11.8,2)</f>
        <v>414.18</v>
      </c>
      <c r="J72" s="122" t="s">
        <v>172</v>
      </c>
      <c r="K72" s="119"/>
      <c r="L72" s="217">
        <v>210</v>
      </c>
    </row>
    <row r="73" spans="1:15" ht="25.5">
      <c r="A73" s="132" t="s">
        <v>103</v>
      </c>
      <c r="B73" s="76" t="s">
        <v>61</v>
      </c>
      <c r="C73" s="124" t="s">
        <v>304</v>
      </c>
      <c r="D73" s="135" t="s">
        <v>60</v>
      </c>
      <c r="E73" s="126">
        <f>F72</f>
        <v>414.18</v>
      </c>
      <c r="J73" s="122" t="s">
        <v>173</v>
      </c>
      <c r="K73" s="142"/>
      <c r="L73" s="218">
        <v>60</v>
      </c>
      <c r="M73" s="21" t="s">
        <v>174</v>
      </c>
      <c r="O73" s="20">
        <f>150.11</f>
        <v>150.11000000000001</v>
      </c>
    </row>
    <row r="74" spans="1:15" ht="76.5">
      <c r="A74" s="132" t="s">
        <v>104</v>
      </c>
      <c r="B74" s="194" t="s">
        <v>234</v>
      </c>
      <c r="C74" s="124" t="s">
        <v>305</v>
      </c>
      <c r="D74" s="140" t="s">
        <v>58</v>
      </c>
      <c r="E74" s="141">
        <f>E69</f>
        <v>35.1</v>
      </c>
      <c r="F74" s="20">
        <v>160.131</v>
      </c>
      <c r="G74" s="143">
        <f>E71</f>
        <v>234</v>
      </c>
      <c r="J74" s="144" t="s">
        <v>175</v>
      </c>
      <c r="K74" s="145"/>
      <c r="L74" s="219">
        <v>234</v>
      </c>
    </row>
    <row r="75" spans="1:15" ht="38.25">
      <c r="A75" s="132" t="s">
        <v>105</v>
      </c>
      <c r="B75" s="194" t="s">
        <v>235</v>
      </c>
      <c r="C75" s="124" t="s">
        <v>306</v>
      </c>
      <c r="D75" s="149" t="s">
        <v>36</v>
      </c>
      <c r="E75" s="126">
        <f>L74</f>
        <v>234</v>
      </c>
    </row>
    <row r="76" spans="1:15" ht="78.75" customHeight="1">
      <c r="A76" s="132" t="s">
        <v>106</v>
      </c>
      <c r="B76" s="194" t="s">
        <v>237</v>
      </c>
      <c r="C76" s="124" t="s">
        <v>307</v>
      </c>
      <c r="D76" s="150" t="s">
        <v>36</v>
      </c>
      <c r="E76" s="147">
        <f>L72</f>
        <v>210</v>
      </c>
    </row>
    <row r="77" spans="1:15" ht="48">
      <c r="A77" s="132" t="s">
        <v>183</v>
      </c>
      <c r="B77" s="194" t="s">
        <v>236</v>
      </c>
      <c r="C77" s="136" t="s">
        <v>318</v>
      </c>
      <c r="D77" s="149" t="s">
        <v>62</v>
      </c>
      <c r="E77" s="126">
        <f>E76*520*(0.0012+0.0005)</f>
        <v>185.64</v>
      </c>
    </row>
    <row r="78" spans="1:15" ht="36">
      <c r="A78" s="132" t="s">
        <v>107</v>
      </c>
      <c r="B78" s="183" t="s">
        <v>339</v>
      </c>
      <c r="C78" s="124" t="s">
        <v>363</v>
      </c>
      <c r="D78" s="184" t="s">
        <v>60</v>
      </c>
      <c r="E78" s="228">
        <f>E76*0.03*1.26*2.8</f>
        <v>22.226399999999998</v>
      </c>
    </row>
    <row r="79" spans="1:15" ht="40.5" customHeight="1">
      <c r="A79" s="132" t="s">
        <v>370</v>
      </c>
      <c r="B79" s="190" t="s">
        <v>341</v>
      </c>
      <c r="C79" s="124" t="s">
        <v>361</v>
      </c>
      <c r="D79" s="184" t="s">
        <v>60</v>
      </c>
      <c r="E79" s="228">
        <f>E76*0.03*0.18*85</f>
        <v>96.389999999999986</v>
      </c>
    </row>
    <row r="80" spans="1:15" ht="25.5">
      <c r="A80" s="132" t="s">
        <v>371</v>
      </c>
      <c r="B80" s="190" t="s">
        <v>343</v>
      </c>
      <c r="C80" s="124" t="s">
        <v>362</v>
      </c>
      <c r="D80" s="184" t="s">
        <v>60</v>
      </c>
      <c r="E80" s="228">
        <f>E76*0.03*86</f>
        <v>541.79999999999995</v>
      </c>
    </row>
    <row r="81" spans="1:12" ht="76.5">
      <c r="A81" s="132" t="s">
        <v>372</v>
      </c>
      <c r="B81" s="194" t="s">
        <v>277</v>
      </c>
      <c r="C81" s="124" t="s">
        <v>319</v>
      </c>
      <c r="D81" s="149" t="s">
        <v>58</v>
      </c>
      <c r="E81" s="126">
        <f>E76*0.03</f>
        <v>6.3</v>
      </c>
    </row>
    <row r="82" spans="1:12" ht="11.25" customHeight="1">
      <c r="A82" s="132" t="s">
        <v>108</v>
      </c>
      <c r="B82" s="133" t="s">
        <v>177</v>
      </c>
      <c r="C82" s="134"/>
      <c r="D82" s="149"/>
      <c r="E82" s="126"/>
    </row>
    <row r="83" spans="1:12" ht="50.25" customHeight="1">
      <c r="A83" s="132" t="s">
        <v>109</v>
      </c>
      <c r="B83" s="182" t="s">
        <v>238</v>
      </c>
      <c r="C83" s="186" t="s">
        <v>308</v>
      </c>
      <c r="D83" s="149" t="s">
        <v>67</v>
      </c>
      <c r="E83" s="126">
        <f>L73</f>
        <v>60</v>
      </c>
    </row>
    <row r="84" spans="1:12" ht="13.5" hidden="1" thickBot="1">
      <c r="A84" s="151" t="s">
        <v>110</v>
      </c>
      <c r="B84" s="312"/>
      <c r="C84" s="313"/>
      <c r="D84" s="313"/>
      <c r="E84" s="314"/>
    </row>
    <row r="85" spans="1:12" hidden="1">
      <c r="A85" s="132" t="s">
        <v>111</v>
      </c>
      <c r="B85" s="133" t="s">
        <v>20</v>
      </c>
      <c r="C85" s="134"/>
      <c r="D85" s="149"/>
      <c r="E85" s="126"/>
    </row>
    <row r="86" spans="1:12" ht="25.5" hidden="1">
      <c r="A86" s="132" t="s">
        <v>112</v>
      </c>
      <c r="B86" s="76" t="s">
        <v>57</v>
      </c>
      <c r="C86" s="124" t="s">
        <v>245</v>
      </c>
      <c r="D86" s="135" t="s">
        <v>58</v>
      </c>
      <c r="E86" s="126">
        <f>ROUND(K88*0.15,2)</f>
        <v>0</v>
      </c>
      <c r="F86" s="20">
        <v>8</v>
      </c>
      <c r="I86" s="122" t="s">
        <v>172</v>
      </c>
      <c r="J86" s="119"/>
      <c r="K86" s="217"/>
    </row>
    <row r="87" spans="1:12" ht="38.25" hidden="1">
      <c r="A87" s="132" t="s">
        <v>113</v>
      </c>
      <c r="B87" s="76" t="s">
        <v>59</v>
      </c>
      <c r="C87" s="136" t="s">
        <v>246</v>
      </c>
      <c r="D87" s="135" t="s">
        <v>60</v>
      </c>
      <c r="E87" s="126">
        <f>E86*F86</f>
        <v>0</v>
      </c>
      <c r="I87" s="122" t="s">
        <v>173</v>
      </c>
      <c r="J87" s="142"/>
      <c r="K87" s="220"/>
      <c r="L87" s="21" t="s">
        <v>174</v>
      </c>
    </row>
    <row r="88" spans="1:12" ht="25.5" hidden="1">
      <c r="A88" s="132" t="s">
        <v>114</v>
      </c>
      <c r="B88" s="76" t="s">
        <v>23</v>
      </c>
      <c r="C88" s="124" t="s">
        <v>247</v>
      </c>
      <c r="D88" s="149" t="s">
        <v>36</v>
      </c>
      <c r="E88" s="126">
        <f>K88</f>
        <v>0</v>
      </c>
      <c r="I88" s="144" t="s">
        <v>175</v>
      </c>
      <c r="J88" s="145"/>
      <c r="K88" s="219"/>
    </row>
    <row r="89" spans="1:12" ht="24" hidden="1">
      <c r="A89" s="132" t="s">
        <v>115</v>
      </c>
      <c r="B89" s="182" t="s">
        <v>271</v>
      </c>
      <c r="C89" s="124" t="s">
        <v>248</v>
      </c>
      <c r="D89" s="135" t="s">
        <v>58</v>
      </c>
      <c r="E89" s="126">
        <f>ROUND(E88*0.15,2)</f>
        <v>0</v>
      </c>
      <c r="F89" s="20">
        <v>11.8</v>
      </c>
    </row>
    <row r="90" spans="1:12" ht="25.5" hidden="1">
      <c r="A90" s="132" t="s">
        <v>116</v>
      </c>
      <c r="B90" s="76" t="s">
        <v>61</v>
      </c>
      <c r="C90" s="124" t="s">
        <v>240</v>
      </c>
      <c r="D90" s="135" t="s">
        <v>60</v>
      </c>
      <c r="E90" s="126">
        <f>E89*F89</f>
        <v>0</v>
      </c>
    </row>
    <row r="91" spans="1:12" ht="76.5" hidden="1">
      <c r="A91" s="132" t="s">
        <v>117</v>
      </c>
      <c r="B91" s="194" t="s">
        <v>234</v>
      </c>
      <c r="C91" s="124" t="s">
        <v>249</v>
      </c>
      <c r="D91" s="140" t="s">
        <v>58</v>
      </c>
      <c r="E91" s="141">
        <f>E86</f>
        <v>0</v>
      </c>
    </row>
    <row r="92" spans="1:12" ht="38.25" hidden="1">
      <c r="A92" s="132" t="s">
        <v>118</v>
      </c>
      <c r="B92" s="194" t="s">
        <v>235</v>
      </c>
      <c r="C92" s="124" t="s">
        <v>250</v>
      </c>
      <c r="D92" s="149" t="s">
        <v>36</v>
      </c>
      <c r="E92" s="126">
        <f>K86</f>
        <v>0</v>
      </c>
    </row>
    <row r="93" spans="1:12" ht="38.25" hidden="1">
      <c r="A93" s="132" t="s">
        <v>119</v>
      </c>
      <c r="B93" s="194" t="s">
        <v>237</v>
      </c>
      <c r="C93" s="124" t="s">
        <v>251</v>
      </c>
      <c r="D93" s="150" t="s">
        <v>36</v>
      </c>
      <c r="E93" s="147">
        <f>ROUND(E92,2)</f>
        <v>0</v>
      </c>
    </row>
    <row r="94" spans="1:12" ht="48" hidden="1">
      <c r="A94" s="132" t="s">
        <v>184</v>
      </c>
      <c r="B94" s="194" t="s">
        <v>236</v>
      </c>
      <c r="C94" s="136" t="s">
        <v>252</v>
      </c>
      <c r="D94" s="149" t="s">
        <v>62</v>
      </c>
      <c r="E94" s="126">
        <f>E93*520*(0.0012+0.0005)</f>
        <v>0</v>
      </c>
    </row>
    <row r="95" spans="1:12" ht="63.75" hidden="1">
      <c r="A95" s="132" t="s">
        <v>120</v>
      </c>
      <c r="B95" s="194" t="s">
        <v>278</v>
      </c>
      <c r="C95" s="124" t="s">
        <v>253</v>
      </c>
      <c r="D95" s="149" t="s">
        <v>58</v>
      </c>
      <c r="E95" s="126">
        <f>E93*0.03</f>
        <v>0</v>
      </c>
    </row>
    <row r="96" spans="1:12" hidden="1">
      <c r="A96" s="132" t="s">
        <v>121</v>
      </c>
      <c r="B96" s="133" t="s">
        <v>177</v>
      </c>
      <c r="C96" s="134"/>
      <c r="D96" s="149"/>
      <c r="E96" s="126"/>
    </row>
    <row r="97" spans="1:13" ht="66.75" hidden="1" customHeight="1">
      <c r="A97" s="148" t="s">
        <v>122</v>
      </c>
      <c r="B97" s="182" t="s">
        <v>238</v>
      </c>
      <c r="C97" s="186" t="s">
        <v>254</v>
      </c>
      <c r="D97" s="149" t="s">
        <v>67</v>
      </c>
      <c r="E97" s="126">
        <f>K87</f>
        <v>0</v>
      </c>
    </row>
    <row r="98" spans="1:13" hidden="1">
      <c r="A98" s="129" t="s">
        <v>123</v>
      </c>
      <c r="B98" s="296"/>
      <c r="C98" s="297"/>
      <c r="D98" s="297"/>
      <c r="E98" s="298"/>
    </row>
    <row r="99" spans="1:13" hidden="1">
      <c r="A99" s="132" t="s">
        <v>185</v>
      </c>
      <c r="B99" s="133" t="s">
        <v>20</v>
      </c>
      <c r="C99" s="134"/>
      <c r="D99" s="149"/>
      <c r="E99" s="126"/>
    </row>
    <row r="100" spans="1:13" ht="43.5" hidden="1" customHeight="1">
      <c r="A100" s="132" t="s">
        <v>124</v>
      </c>
      <c r="B100" s="76" t="s">
        <v>57</v>
      </c>
      <c r="C100" s="124" t="s">
        <v>255</v>
      </c>
      <c r="D100" s="186" t="s">
        <v>58</v>
      </c>
      <c r="E100" s="126">
        <f>ROUND(L105*0.15,2)</f>
        <v>0</v>
      </c>
      <c r="F100" s="20">
        <v>8</v>
      </c>
    </row>
    <row r="101" spans="1:13" ht="48.75" hidden="1" customHeight="1">
      <c r="A101" s="132" t="s">
        <v>125</v>
      </c>
      <c r="B101" s="76" t="s">
        <v>59</v>
      </c>
      <c r="C101" s="136" t="s">
        <v>256</v>
      </c>
      <c r="D101" s="186" t="s">
        <v>60</v>
      </c>
      <c r="E101" s="126">
        <f>E100*F100</f>
        <v>0</v>
      </c>
      <c r="H101" s="137"/>
      <c r="I101" s="138"/>
      <c r="J101" s="138"/>
    </row>
    <row r="102" spans="1:13" ht="39.75" hidden="1" customHeight="1">
      <c r="A102" s="132" t="s">
        <v>126</v>
      </c>
      <c r="B102" s="76" t="s">
        <v>23</v>
      </c>
      <c r="C102" s="124" t="s">
        <v>257</v>
      </c>
      <c r="D102" s="187" t="s">
        <v>36</v>
      </c>
      <c r="E102" s="126">
        <f>L105</f>
        <v>0</v>
      </c>
      <c r="F102" s="20">
        <f>E102*0.15</f>
        <v>0</v>
      </c>
      <c r="H102" s="137"/>
      <c r="I102" s="139"/>
      <c r="J102" s="138"/>
    </row>
    <row r="103" spans="1:13" ht="36" hidden="1">
      <c r="A103" s="132" t="s">
        <v>127</v>
      </c>
      <c r="B103" s="182" t="s">
        <v>271</v>
      </c>
      <c r="C103" s="124" t="s">
        <v>258</v>
      </c>
      <c r="D103" s="186" t="s">
        <v>58</v>
      </c>
      <c r="E103" s="126">
        <f>ROUND(F102,2)</f>
        <v>0</v>
      </c>
      <c r="F103" s="20">
        <f>E103*11.8</f>
        <v>0</v>
      </c>
      <c r="J103" s="122" t="s">
        <v>172</v>
      </c>
      <c r="K103" s="119"/>
      <c r="L103" s="217"/>
    </row>
    <row r="104" spans="1:13" ht="25.5" hidden="1">
      <c r="A104" s="132" t="s">
        <v>128</v>
      </c>
      <c r="B104" s="76" t="s">
        <v>61</v>
      </c>
      <c r="C104" s="124" t="s">
        <v>259</v>
      </c>
      <c r="D104" s="135" t="s">
        <v>60</v>
      </c>
      <c r="E104" s="126">
        <f>F103</f>
        <v>0</v>
      </c>
      <c r="J104" s="122" t="s">
        <v>173</v>
      </c>
      <c r="K104" s="142"/>
      <c r="L104" s="220"/>
      <c r="M104" s="21" t="s">
        <v>174</v>
      </c>
    </row>
    <row r="105" spans="1:13" ht="76.5" hidden="1">
      <c r="A105" s="132" t="s">
        <v>129</v>
      </c>
      <c r="B105" s="194" t="s">
        <v>234</v>
      </c>
      <c r="C105" s="124" t="s">
        <v>260</v>
      </c>
      <c r="D105" s="140" t="s">
        <v>58</v>
      </c>
      <c r="E105" s="141">
        <f>E100</f>
        <v>0</v>
      </c>
      <c r="F105" s="20">
        <v>160.131</v>
      </c>
      <c r="G105" s="143">
        <f>E102</f>
        <v>0</v>
      </c>
      <c r="J105" s="144" t="s">
        <v>175</v>
      </c>
      <c r="K105" s="145"/>
      <c r="L105" s="219"/>
    </row>
    <row r="106" spans="1:13" ht="38.25" hidden="1">
      <c r="A106" s="132" t="s">
        <v>130</v>
      </c>
      <c r="B106" s="194" t="s">
        <v>235</v>
      </c>
      <c r="C106" s="124" t="s">
        <v>270</v>
      </c>
      <c r="D106" s="149" t="s">
        <v>36</v>
      </c>
      <c r="E106" s="126">
        <f>L103</f>
        <v>0</v>
      </c>
    </row>
    <row r="107" spans="1:13" ht="71.25" hidden="1" customHeight="1">
      <c r="A107" s="132" t="s">
        <v>131</v>
      </c>
      <c r="B107" s="194" t="s">
        <v>237</v>
      </c>
      <c r="C107" s="124" t="s">
        <v>269</v>
      </c>
      <c r="D107" s="150" t="s">
        <v>36</v>
      </c>
      <c r="E107" s="147">
        <f>E106</f>
        <v>0</v>
      </c>
    </row>
    <row r="108" spans="1:13" ht="48" hidden="1">
      <c r="A108" s="132" t="s">
        <v>186</v>
      </c>
      <c r="B108" s="194" t="s">
        <v>236</v>
      </c>
      <c r="C108" s="136" t="s">
        <v>261</v>
      </c>
      <c r="D108" s="149" t="s">
        <v>62</v>
      </c>
      <c r="E108" s="126">
        <f>E107*520*(0.0012+0.0005)</f>
        <v>0</v>
      </c>
    </row>
    <row r="109" spans="1:13" ht="63.75" hidden="1">
      <c r="A109" s="132" t="s">
        <v>132</v>
      </c>
      <c r="B109" s="194" t="s">
        <v>278</v>
      </c>
      <c r="C109" s="124" t="s">
        <v>262</v>
      </c>
      <c r="D109" s="149" t="s">
        <v>58</v>
      </c>
      <c r="E109" s="126">
        <f>E107*0.03</f>
        <v>0</v>
      </c>
    </row>
    <row r="110" spans="1:13" hidden="1">
      <c r="A110" s="132" t="s">
        <v>133</v>
      </c>
      <c r="B110" s="133" t="s">
        <v>177</v>
      </c>
      <c r="C110" s="134"/>
      <c r="D110" s="149"/>
      <c r="E110" s="126"/>
    </row>
    <row r="111" spans="1:13" ht="63.75" hidden="1">
      <c r="A111" s="148" t="s">
        <v>134</v>
      </c>
      <c r="B111" s="182" t="s">
        <v>238</v>
      </c>
      <c r="C111" s="186" t="s">
        <v>263</v>
      </c>
      <c r="D111" s="149" t="s">
        <v>67</v>
      </c>
      <c r="E111" s="126">
        <f>L104</f>
        <v>0</v>
      </c>
    </row>
    <row r="112" spans="1:13">
      <c r="A112" s="20"/>
      <c r="B112" s="119"/>
      <c r="C112" s="20"/>
      <c r="D112" s="20"/>
      <c r="E112" s="152"/>
    </row>
    <row r="113" spans="1:5">
      <c r="A113" s="20"/>
      <c r="B113" s="20"/>
      <c r="C113" s="20"/>
      <c r="D113" s="20"/>
      <c r="E113" s="152"/>
    </row>
    <row r="114" spans="1:5">
      <c r="A114" s="310" t="s">
        <v>187</v>
      </c>
      <c r="B114" s="310"/>
      <c r="C114" s="310"/>
      <c r="D114" s="310"/>
      <c r="E114" s="310"/>
    </row>
    <row r="115" spans="1:5">
      <c r="A115" s="153"/>
      <c r="B115" s="153"/>
      <c r="C115" s="154"/>
      <c r="D115" s="155"/>
      <c r="E115" s="156"/>
    </row>
    <row r="116" spans="1:5">
      <c r="A116" s="153"/>
      <c r="B116" s="153"/>
      <c r="C116" s="154"/>
      <c r="D116" s="155"/>
      <c r="E116" s="156"/>
    </row>
    <row r="117" spans="1:5">
      <c r="A117" s="315" t="s">
        <v>188</v>
      </c>
      <c r="B117" s="315"/>
      <c r="C117" s="315"/>
      <c r="D117" s="315"/>
      <c r="E117" s="315"/>
    </row>
    <row r="118" spans="1:5">
      <c r="A118" s="315" t="s">
        <v>189</v>
      </c>
      <c r="B118" s="315"/>
      <c r="C118" s="315"/>
      <c r="D118" s="315"/>
      <c r="E118" s="315"/>
    </row>
    <row r="119" spans="1:5">
      <c r="A119" s="316" t="s">
        <v>157</v>
      </c>
      <c r="B119" s="316"/>
      <c r="C119" s="316"/>
      <c r="D119" s="316"/>
      <c r="E119" s="316"/>
    </row>
    <row r="120" spans="1:5">
      <c r="A120" s="316" t="s">
        <v>190</v>
      </c>
      <c r="B120" s="316"/>
      <c r="C120" s="316"/>
      <c r="D120" s="316"/>
      <c r="E120" s="316"/>
    </row>
    <row r="121" spans="1:5">
      <c r="A121" s="310"/>
      <c r="B121" s="310"/>
      <c r="C121" s="157"/>
      <c r="D121" s="310"/>
      <c r="E121" s="310"/>
    </row>
    <row r="122" spans="1:5">
      <c r="A122" s="311"/>
      <c r="B122" s="311"/>
      <c r="C122" s="157"/>
      <c r="D122" s="158"/>
      <c r="E122" s="159"/>
    </row>
    <row r="123" spans="1:5">
      <c r="A123" s="160"/>
      <c r="B123" s="160"/>
      <c r="C123" s="160"/>
      <c r="D123" s="160"/>
      <c r="E123" s="161"/>
    </row>
  </sheetData>
  <mergeCells count="18">
    <mergeCell ref="A121:B121"/>
    <mergeCell ref="D121:E121"/>
    <mergeCell ref="A122:B122"/>
    <mergeCell ref="B50:E50"/>
    <mergeCell ref="B67:E67"/>
    <mergeCell ref="B84:E84"/>
    <mergeCell ref="B98:E98"/>
    <mergeCell ref="A114:E114"/>
    <mergeCell ref="A117:E117"/>
    <mergeCell ref="A118:E118"/>
    <mergeCell ref="A119:E119"/>
    <mergeCell ref="A120:E120"/>
    <mergeCell ref="B33:E33"/>
    <mergeCell ref="A1:E1"/>
    <mergeCell ref="A2:E2"/>
    <mergeCell ref="A6:E6"/>
    <mergeCell ref="A7:B7"/>
    <mergeCell ref="B16:E16"/>
  </mergeCells>
  <printOptions horizontalCentered="1"/>
  <pageMargins left="0.31496062992125984" right="0.31496062992125984" top="0.19685039370078741" bottom="0.19685039370078741" header="0.31496062992125984" footer="0.31496062992125984"/>
  <pageSetup paperSize="9" scale="81" orientation="landscape" r:id="rId1"/>
  <rowBreaks count="1" manualBreakCount="1">
    <brk id="20" max="4" man="1"/>
  </rowBreaks>
  <legacyDrawing r:id="rId2"/>
  <oleObjects>
    <oleObject shapeId="7169" r:id="rId3"/>
  </oleObject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7"/>
  <sheetViews>
    <sheetView showGridLines="0" showZeros="0" view="pageBreakPreview" topLeftCell="B4" zoomScaleNormal="75" zoomScaleSheetLayoutView="100" workbookViewId="0">
      <selection activeCell="G33" sqref="G33"/>
    </sheetView>
  </sheetViews>
  <sheetFormatPr defaultRowHeight="12.75"/>
  <cols>
    <col min="1" max="1" width="12.140625" style="27" customWidth="1"/>
    <col min="2" max="2" width="10.42578125" style="27" customWidth="1"/>
    <col min="3" max="3" width="64.28515625" style="27" customWidth="1"/>
    <col min="4" max="4" width="14.28515625" style="64" customWidth="1"/>
    <col min="5" max="5" width="16.42578125" style="64" customWidth="1"/>
    <col min="6" max="6" width="19.85546875" style="27" customWidth="1"/>
    <col min="7" max="7" width="14.7109375" style="27" customWidth="1"/>
    <col min="8" max="8" width="15.42578125" style="27" customWidth="1"/>
    <col min="9" max="9" width="15.5703125" style="27" customWidth="1"/>
    <col min="10" max="10" width="14" style="27" customWidth="1"/>
    <col min="11" max="11" width="18" style="27" customWidth="1"/>
    <col min="12" max="12" width="19.5703125" style="27" customWidth="1"/>
    <col min="13" max="16384" width="9.140625" style="27"/>
  </cols>
  <sheetData>
    <row r="1" spans="1:11" ht="91.5" customHeight="1">
      <c r="A1" s="319"/>
      <c r="B1" s="320"/>
      <c r="C1" s="320"/>
      <c r="D1" s="320"/>
      <c r="E1" s="320"/>
      <c r="F1" s="320"/>
      <c r="G1" s="320"/>
      <c r="H1" s="320"/>
      <c r="I1" s="320"/>
      <c r="J1" s="320"/>
      <c r="K1" s="321"/>
    </row>
    <row r="2" spans="1:11" ht="2.25" customHeight="1">
      <c r="A2" s="195"/>
      <c r="B2" s="28"/>
      <c r="C2" s="28"/>
      <c r="D2" s="29"/>
      <c r="E2" s="29"/>
      <c r="F2" s="29"/>
      <c r="G2" s="29"/>
      <c r="H2" s="29"/>
      <c r="I2" s="28"/>
      <c r="J2" s="28"/>
      <c r="K2" s="196"/>
    </row>
    <row r="3" spans="1:11" ht="15.75">
      <c r="A3" s="337"/>
      <c r="B3" s="338"/>
      <c r="C3" s="338"/>
      <c r="D3" s="338"/>
      <c r="E3" s="338"/>
      <c r="F3" s="338"/>
      <c r="G3" s="338"/>
      <c r="H3" s="338"/>
      <c r="I3" s="338"/>
      <c r="J3" s="338"/>
      <c r="K3" s="339"/>
    </row>
    <row r="4" spans="1:11" ht="3.75" customHeight="1">
      <c r="A4" s="58"/>
      <c r="B4" s="30"/>
      <c r="C4" s="30"/>
      <c r="D4" s="29"/>
      <c r="E4" s="29"/>
      <c r="F4" s="30"/>
      <c r="G4" s="30"/>
      <c r="H4" s="30"/>
      <c r="I4" s="30"/>
      <c r="J4" s="30"/>
      <c r="K4" s="60"/>
    </row>
    <row r="5" spans="1:11" ht="18" customHeight="1">
      <c r="A5" s="340" t="s">
        <v>135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</row>
    <row r="6" spans="1:11" ht="18" customHeight="1">
      <c r="A6" s="341" t="s">
        <v>162</v>
      </c>
      <c r="B6" s="342"/>
      <c r="C6" s="343"/>
      <c r="D6" s="346" t="s">
        <v>329</v>
      </c>
      <c r="E6" s="347"/>
      <c r="F6" s="227">
        <f>E28</f>
        <v>96408.576027564006</v>
      </c>
      <c r="G6" s="225"/>
      <c r="H6" s="226"/>
      <c r="I6" s="344" t="s">
        <v>322</v>
      </c>
      <c r="J6" s="344"/>
      <c r="K6" s="345"/>
    </row>
    <row r="7" spans="1:11" ht="18" customHeight="1" thickBot="1">
      <c r="A7" s="332" t="s">
        <v>151</v>
      </c>
      <c r="B7" s="333"/>
      <c r="C7" s="334"/>
      <c r="D7" s="333" t="s">
        <v>152</v>
      </c>
      <c r="E7" s="333"/>
      <c r="F7" s="333"/>
      <c r="G7" s="333"/>
      <c r="H7" s="333"/>
      <c r="I7" s="335" t="s">
        <v>333</v>
      </c>
      <c r="J7" s="333"/>
      <c r="K7" s="336"/>
    </row>
    <row r="8" spans="1:11" ht="36" customHeight="1" thickBot="1">
      <c r="A8" s="31" t="s">
        <v>0</v>
      </c>
      <c r="B8" s="32" t="s">
        <v>5</v>
      </c>
      <c r="C8" s="32" t="s">
        <v>136</v>
      </c>
      <c r="D8" s="33" t="s">
        <v>137</v>
      </c>
      <c r="E8" s="33" t="s">
        <v>138</v>
      </c>
      <c r="F8" s="32" t="s">
        <v>139</v>
      </c>
      <c r="G8" s="32" t="s">
        <v>140</v>
      </c>
      <c r="H8" s="32" t="s">
        <v>141</v>
      </c>
      <c r="I8" s="32" t="s">
        <v>142</v>
      </c>
      <c r="J8" s="32" t="s">
        <v>143</v>
      </c>
      <c r="K8" s="34" t="s">
        <v>144</v>
      </c>
    </row>
    <row r="9" spans="1:11" ht="14.25" customHeight="1">
      <c r="A9" s="111">
        <v>1</v>
      </c>
      <c r="B9" s="330" t="s">
        <v>15</v>
      </c>
      <c r="C9" s="331" t="s">
        <v>16</v>
      </c>
      <c r="D9" s="35" t="s">
        <v>145</v>
      </c>
      <c r="E9" s="109">
        <f>E10/$E$28</f>
        <v>0.11248246936973252</v>
      </c>
      <c r="F9" s="36">
        <v>1</v>
      </c>
      <c r="G9" s="36"/>
      <c r="H9" s="36"/>
      <c r="I9" s="37"/>
      <c r="J9" s="38"/>
      <c r="K9" s="39"/>
    </row>
    <row r="10" spans="1:11" ht="14.25" customHeight="1">
      <c r="A10" s="112"/>
      <c r="B10" s="329"/>
      <c r="C10" s="317"/>
      <c r="D10" s="40" t="s">
        <v>146</v>
      </c>
      <c r="E10" s="65">
        <f>'Planilha Orcamentaria'!$H$19</f>
        <v>10844.274699999998</v>
      </c>
      <c r="F10" s="41">
        <f t="shared" ref="F10:K10" si="0">F9*$E$10</f>
        <v>10844.274699999998</v>
      </c>
      <c r="G10" s="41">
        <f t="shared" si="0"/>
        <v>0</v>
      </c>
      <c r="H10" s="41">
        <f t="shared" si="0"/>
        <v>0</v>
      </c>
      <c r="I10" s="41">
        <f t="shared" si="0"/>
        <v>0</v>
      </c>
      <c r="J10" s="41">
        <f t="shared" si="0"/>
        <v>0</v>
      </c>
      <c r="K10" s="42">
        <f t="shared" si="0"/>
        <v>0</v>
      </c>
    </row>
    <row r="11" spans="1:11" ht="14.25" customHeight="1">
      <c r="A11" s="112">
        <v>2</v>
      </c>
      <c r="B11" s="329" t="s">
        <v>19</v>
      </c>
      <c r="C11" s="317" t="s">
        <v>323</v>
      </c>
      <c r="D11" s="40" t="s">
        <v>145</v>
      </c>
      <c r="E11" s="109">
        <f>E12/$E$28</f>
        <v>0.33593333523387309</v>
      </c>
      <c r="F11" s="36">
        <v>1</v>
      </c>
      <c r="G11" s="36"/>
      <c r="H11" s="36"/>
      <c r="I11" s="37"/>
      <c r="J11" s="38"/>
      <c r="K11" s="39"/>
    </row>
    <row r="12" spans="1:11" ht="14.25" customHeight="1">
      <c r="A12" s="112"/>
      <c r="B12" s="329"/>
      <c r="C12" s="317"/>
      <c r="D12" s="40" t="s">
        <v>146</v>
      </c>
      <c r="E12" s="65">
        <f>'Planilha Orcamentaria'!$H$35</f>
        <v>32386.854490088001</v>
      </c>
      <c r="F12" s="41">
        <f t="shared" ref="F12:K12" si="1">F11*$E$12</f>
        <v>32386.854490088001</v>
      </c>
      <c r="G12" s="41">
        <f t="shared" si="1"/>
        <v>0</v>
      </c>
      <c r="H12" s="41">
        <f t="shared" si="1"/>
        <v>0</v>
      </c>
      <c r="I12" s="41">
        <f t="shared" si="1"/>
        <v>0</v>
      </c>
      <c r="J12" s="41">
        <f t="shared" si="1"/>
        <v>0</v>
      </c>
      <c r="K12" s="42">
        <f t="shared" si="1"/>
        <v>0</v>
      </c>
    </row>
    <row r="13" spans="1:11" ht="14.25" customHeight="1">
      <c r="A13" s="112">
        <v>3</v>
      </c>
      <c r="B13" s="329" t="s">
        <v>28</v>
      </c>
      <c r="C13" s="317" t="s">
        <v>324</v>
      </c>
      <c r="D13" s="40" t="s">
        <v>145</v>
      </c>
      <c r="E13" s="109">
        <f>E14/$E$28</f>
        <v>7.3179900489172958E-2</v>
      </c>
      <c r="F13" s="36">
        <v>1</v>
      </c>
      <c r="G13" s="36">
        <v>0</v>
      </c>
      <c r="H13" s="36"/>
      <c r="I13" s="37"/>
      <c r="J13" s="38"/>
      <c r="K13" s="39"/>
    </row>
    <row r="14" spans="1:11" ht="14.25" customHeight="1">
      <c r="A14" s="112"/>
      <c r="B14" s="329"/>
      <c r="C14" s="317"/>
      <c r="D14" s="40" t="s">
        <v>146</v>
      </c>
      <c r="E14" s="65">
        <f>'Planilha Orcamentaria'!$H$38</f>
        <v>7055.17</v>
      </c>
      <c r="F14" s="41">
        <f t="shared" ref="F14:K14" si="2">F13*$E$14</f>
        <v>7055.17</v>
      </c>
      <c r="G14" s="41">
        <f t="shared" si="2"/>
        <v>0</v>
      </c>
      <c r="H14" s="41">
        <f t="shared" si="2"/>
        <v>0</v>
      </c>
      <c r="I14" s="41">
        <f t="shared" si="2"/>
        <v>0</v>
      </c>
      <c r="J14" s="41">
        <f t="shared" si="2"/>
        <v>0</v>
      </c>
      <c r="K14" s="42">
        <f t="shared" si="2"/>
        <v>0</v>
      </c>
    </row>
    <row r="15" spans="1:11" ht="14.25" customHeight="1">
      <c r="A15" s="328">
        <v>4</v>
      </c>
      <c r="B15" s="329" t="s">
        <v>19</v>
      </c>
      <c r="C15" s="317" t="s">
        <v>332</v>
      </c>
      <c r="D15" s="40" t="s">
        <v>145</v>
      </c>
      <c r="E15" s="109">
        <f>E16/$E$28</f>
        <v>0.14108615698058957</v>
      </c>
      <c r="F15" s="36">
        <v>1</v>
      </c>
      <c r="G15" s="36">
        <v>0</v>
      </c>
      <c r="H15" s="36"/>
      <c r="I15" s="37"/>
      <c r="J15" s="38"/>
      <c r="K15" s="39"/>
    </row>
    <row r="16" spans="1:11" ht="14.25" customHeight="1">
      <c r="A16" s="328"/>
      <c r="B16" s="329"/>
      <c r="C16" s="317"/>
      <c r="D16" s="40" t="s">
        <v>146</v>
      </c>
      <c r="E16" s="65">
        <f>'Planilha Orcamentaria'!$H$54</f>
        <v>13601.9154917</v>
      </c>
      <c r="F16" s="41">
        <f t="shared" ref="F16:K16" si="3">F15*$E$16</f>
        <v>13601.9154917</v>
      </c>
      <c r="G16" s="41">
        <f t="shared" si="3"/>
        <v>0</v>
      </c>
      <c r="H16" s="41">
        <f t="shared" si="3"/>
        <v>0</v>
      </c>
      <c r="I16" s="41">
        <f t="shared" si="3"/>
        <v>0</v>
      </c>
      <c r="J16" s="41">
        <f t="shared" si="3"/>
        <v>0</v>
      </c>
      <c r="K16" s="42">
        <f t="shared" si="3"/>
        <v>0</v>
      </c>
    </row>
    <row r="17" spans="1:13" ht="14.25" customHeight="1">
      <c r="A17" s="328">
        <v>5</v>
      </c>
      <c r="B17" s="329" t="s">
        <v>28</v>
      </c>
      <c r="C17" s="317" t="s">
        <v>331</v>
      </c>
      <c r="D17" s="40" t="s">
        <v>145</v>
      </c>
      <c r="E17" s="109">
        <f>E18/$E$28</f>
        <v>3.4367378261584293E-2</v>
      </c>
      <c r="F17" s="36">
        <v>0</v>
      </c>
      <c r="G17" s="36">
        <v>1</v>
      </c>
      <c r="H17" s="36">
        <v>0</v>
      </c>
      <c r="I17" s="37"/>
      <c r="J17" s="38"/>
      <c r="K17" s="39"/>
    </row>
    <row r="18" spans="1:13" ht="14.25" customHeight="1">
      <c r="A18" s="328"/>
      <c r="B18" s="329"/>
      <c r="C18" s="317"/>
      <c r="D18" s="40" t="s">
        <v>146</v>
      </c>
      <c r="E18" s="106">
        <f>'Planilha Orcamentaria'!$H$57</f>
        <v>3313.31</v>
      </c>
      <c r="F18" s="41">
        <f t="shared" ref="F18:K18" si="4">F17*$E$16</f>
        <v>0</v>
      </c>
      <c r="G18" s="41">
        <f>G17*$E$18</f>
        <v>3313.31</v>
      </c>
      <c r="H18" s="41">
        <f t="shared" si="4"/>
        <v>0</v>
      </c>
      <c r="I18" s="41">
        <f t="shared" si="4"/>
        <v>0</v>
      </c>
      <c r="J18" s="41">
        <f t="shared" si="4"/>
        <v>0</v>
      </c>
      <c r="K18" s="42">
        <f t="shared" si="4"/>
        <v>0</v>
      </c>
    </row>
    <row r="19" spans="1:13" ht="14.25" customHeight="1">
      <c r="A19" s="328">
        <v>6</v>
      </c>
      <c r="B19" s="329" t="s">
        <v>19</v>
      </c>
      <c r="C19" s="317" t="s">
        <v>325</v>
      </c>
      <c r="D19" s="40" t="s">
        <v>145</v>
      </c>
      <c r="E19" s="109">
        <f>E20/$E$28</f>
        <v>0.13475840898284316</v>
      </c>
      <c r="F19" s="36"/>
      <c r="G19" s="36">
        <v>1</v>
      </c>
      <c r="H19" s="36">
        <v>0</v>
      </c>
      <c r="I19" s="37"/>
      <c r="J19" s="38"/>
      <c r="K19" s="39"/>
    </row>
    <row r="20" spans="1:13" ht="14.25" customHeight="1">
      <c r="A20" s="328"/>
      <c r="B20" s="329"/>
      <c r="C20" s="317"/>
      <c r="D20" s="40" t="s">
        <v>146</v>
      </c>
      <c r="E20" s="107">
        <f>'Planilha Orcamentaria'!$H$73</f>
        <v>12991.866317775999</v>
      </c>
      <c r="F20" s="41">
        <f t="shared" ref="F20:K20" si="5">F19*$E$20</f>
        <v>0</v>
      </c>
      <c r="G20" s="41">
        <f t="shared" si="5"/>
        <v>12991.866317775999</v>
      </c>
      <c r="H20" s="41">
        <f t="shared" si="5"/>
        <v>0</v>
      </c>
      <c r="I20" s="41">
        <f t="shared" si="5"/>
        <v>0</v>
      </c>
      <c r="J20" s="41">
        <f t="shared" si="5"/>
        <v>0</v>
      </c>
      <c r="K20" s="42">
        <f t="shared" si="5"/>
        <v>0</v>
      </c>
    </row>
    <row r="21" spans="1:13" ht="14.25" customHeight="1">
      <c r="A21" s="328">
        <v>7</v>
      </c>
      <c r="B21" s="329" t="s">
        <v>28</v>
      </c>
      <c r="C21" s="317" t="s">
        <v>326</v>
      </c>
      <c r="D21" s="40" t="s">
        <v>145</v>
      </c>
      <c r="E21" s="109">
        <f>E22/$E$28</f>
        <v>2.892906538939647E-2</v>
      </c>
      <c r="F21" s="36"/>
      <c r="G21" s="36">
        <v>1</v>
      </c>
      <c r="H21" s="36">
        <v>0</v>
      </c>
      <c r="I21" s="37"/>
      <c r="J21" s="38"/>
      <c r="K21" s="39"/>
    </row>
    <row r="22" spans="1:13" ht="14.25" customHeight="1">
      <c r="A22" s="328"/>
      <c r="B22" s="329"/>
      <c r="C22" s="317"/>
      <c r="D22" s="40" t="s">
        <v>146</v>
      </c>
      <c r="E22" s="107">
        <f>'Planilha Orcamentaria'!$H$76</f>
        <v>2789.01</v>
      </c>
      <c r="F22" s="41">
        <f t="shared" ref="F22:K22" si="6">F21*$E$22</f>
        <v>0</v>
      </c>
      <c r="G22" s="41">
        <f t="shared" si="6"/>
        <v>2789.01</v>
      </c>
      <c r="H22" s="41">
        <f t="shared" si="6"/>
        <v>0</v>
      </c>
      <c r="I22" s="41">
        <f t="shared" si="6"/>
        <v>0</v>
      </c>
      <c r="J22" s="41">
        <f t="shared" si="6"/>
        <v>0</v>
      </c>
      <c r="K22" s="42">
        <f t="shared" si="6"/>
        <v>0</v>
      </c>
    </row>
    <row r="23" spans="1:13" ht="14.25" customHeight="1">
      <c r="A23" s="328">
        <v>8</v>
      </c>
      <c r="B23" s="329" t="s">
        <v>19</v>
      </c>
      <c r="C23" s="317" t="s">
        <v>327</v>
      </c>
      <c r="D23" s="40" t="s">
        <v>145</v>
      </c>
      <c r="E23" s="109">
        <f>E24/$E$28</f>
        <v>0.116603475450005</v>
      </c>
      <c r="F23" s="36"/>
      <c r="G23" s="36">
        <v>1</v>
      </c>
      <c r="H23" s="36"/>
      <c r="I23" s="37">
        <v>0</v>
      </c>
      <c r="J23" s="38"/>
      <c r="K23" s="39"/>
    </row>
    <row r="24" spans="1:13" ht="14.25" customHeight="1">
      <c r="A24" s="328"/>
      <c r="B24" s="329"/>
      <c r="C24" s="317"/>
      <c r="D24" s="40" t="s">
        <v>146</v>
      </c>
      <c r="E24" s="108">
        <f>'Planilha Orcamentaria'!$H$92</f>
        <v>11241.575028000001</v>
      </c>
      <c r="F24" s="41">
        <f t="shared" ref="F24:K24" si="7">F23*$E$24</f>
        <v>0</v>
      </c>
      <c r="G24" s="41">
        <f t="shared" si="7"/>
        <v>11241.575028000001</v>
      </c>
      <c r="H24" s="41">
        <f t="shared" si="7"/>
        <v>0</v>
      </c>
      <c r="I24" s="41">
        <f t="shared" si="7"/>
        <v>0</v>
      </c>
      <c r="J24" s="41">
        <f t="shared" si="7"/>
        <v>0</v>
      </c>
      <c r="K24" s="42">
        <f t="shared" si="7"/>
        <v>0</v>
      </c>
    </row>
    <row r="25" spans="1:13" ht="14.25" customHeight="1">
      <c r="A25" s="328">
        <v>9</v>
      </c>
      <c r="B25" s="329" t="s">
        <v>28</v>
      </c>
      <c r="C25" s="317" t="s">
        <v>328</v>
      </c>
      <c r="D25" s="40" t="s">
        <v>145</v>
      </c>
      <c r="E25" s="109">
        <f>E26/$E$28</f>
        <v>2.2659809842802831E-2</v>
      </c>
      <c r="F25" s="36"/>
      <c r="G25" s="36">
        <v>1</v>
      </c>
      <c r="H25" s="36"/>
      <c r="I25" s="37"/>
      <c r="J25" s="38">
        <v>0</v>
      </c>
      <c r="K25" s="39"/>
    </row>
    <row r="26" spans="1:13" ht="14.25" customHeight="1">
      <c r="A26" s="328"/>
      <c r="B26" s="329"/>
      <c r="C26" s="317"/>
      <c r="D26" s="40" t="s">
        <v>146</v>
      </c>
      <c r="E26" s="108">
        <f>'Planilha Orcamentaria'!$H$95</f>
        <v>2184.6</v>
      </c>
      <c r="F26" s="41">
        <f t="shared" ref="F26:K26" si="8">F25*$E$26</f>
        <v>0</v>
      </c>
      <c r="G26" s="41">
        <f t="shared" si="8"/>
        <v>2184.6</v>
      </c>
      <c r="H26" s="41">
        <f t="shared" si="8"/>
        <v>0</v>
      </c>
      <c r="I26" s="41">
        <f t="shared" si="8"/>
        <v>0</v>
      </c>
      <c r="J26" s="41">
        <f t="shared" si="8"/>
        <v>0</v>
      </c>
      <c r="K26" s="42">
        <f t="shared" si="8"/>
        <v>0</v>
      </c>
    </row>
    <row r="27" spans="1:13" ht="14.25" customHeight="1">
      <c r="A27" s="322" t="s">
        <v>147</v>
      </c>
      <c r="B27" s="323"/>
      <c r="C27" s="324"/>
      <c r="D27" s="43" t="s">
        <v>145</v>
      </c>
      <c r="E27" s="66">
        <f>E9+E11+E13++E15+E17+E19+E21+E23+E25</f>
        <v>1</v>
      </c>
      <c r="F27" s="44">
        <f t="shared" ref="F27:J27" si="9">F28/$E$28</f>
        <v>0.66268186207336821</v>
      </c>
      <c r="G27" s="44">
        <f>G28/$E$28</f>
        <v>0.33731813792663179</v>
      </c>
      <c r="H27" s="44">
        <f t="shared" si="9"/>
        <v>0</v>
      </c>
      <c r="I27" s="44">
        <f t="shared" si="9"/>
        <v>0</v>
      </c>
      <c r="J27" s="44">
        <f t="shared" si="9"/>
        <v>0</v>
      </c>
      <c r="K27" s="45">
        <f>K28/$E$28</f>
        <v>0</v>
      </c>
      <c r="L27" s="110"/>
    </row>
    <row r="28" spans="1:13" ht="13.5" customHeight="1" thickBot="1">
      <c r="A28" s="325"/>
      <c r="B28" s="326"/>
      <c r="C28" s="327"/>
      <c r="D28" s="46" t="s">
        <v>146</v>
      </c>
      <c r="E28" s="67">
        <f t="shared" ref="E28:K28" si="10">E10+E12+E14+E16+E18+E20+E22+E24+E26</f>
        <v>96408.576027564006</v>
      </c>
      <c r="F28" s="47">
        <f t="shared" si="10"/>
        <v>63888.214681787998</v>
      </c>
      <c r="G28" s="47">
        <f t="shared" si="10"/>
        <v>32520.361345776</v>
      </c>
      <c r="H28" s="47">
        <f t="shared" si="10"/>
        <v>0</v>
      </c>
      <c r="I28" s="47">
        <f t="shared" si="10"/>
        <v>0</v>
      </c>
      <c r="J28" s="47">
        <f t="shared" si="10"/>
        <v>0</v>
      </c>
      <c r="K28" s="48">
        <f t="shared" si="10"/>
        <v>0</v>
      </c>
      <c r="L28" s="110"/>
    </row>
    <row r="29" spans="1:13" ht="1.5" customHeight="1">
      <c r="A29" s="49"/>
      <c r="B29" s="49"/>
      <c r="C29" s="49"/>
      <c r="D29" s="50"/>
      <c r="E29" s="50"/>
      <c r="F29" s="49"/>
      <c r="G29" s="49"/>
      <c r="H29" s="49"/>
      <c r="I29" s="49"/>
      <c r="J29" s="49"/>
      <c r="K29" s="49"/>
    </row>
    <row r="30" spans="1:13" ht="34.5" customHeight="1">
      <c r="A30" s="197"/>
      <c r="B30" s="198"/>
      <c r="C30" s="198"/>
      <c r="D30" s="198"/>
      <c r="E30" s="198"/>
      <c r="F30" s="198"/>
      <c r="G30" s="199"/>
      <c r="H30" s="200"/>
      <c r="I30" s="201"/>
      <c r="J30" s="201"/>
      <c r="K30" s="202"/>
      <c r="M30" s="51" t="s">
        <v>148</v>
      </c>
    </row>
    <row r="31" spans="1:13" ht="14.25" customHeight="1">
      <c r="A31" s="203"/>
      <c r="B31" s="278" t="s">
        <v>154</v>
      </c>
      <c r="C31" s="278"/>
      <c r="D31" s="53"/>
      <c r="E31" s="54"/>
      <c r="F31" s="52"/>
      <c r="G31" s="55"/>
      <c r="H31" s="56" t="s">
        <v>149</v>
      </c>
      <c r="I31" s="30"/>
      <c r="J31" s="30"/>
      <c r="K31" s="204"/>
    </row>
    <row r="32" spans="1:13" ht="14.25" customHeight="1">
      <c r="A32" s="56"/>
      <c r="B32" s="318" t="s">
        <v>157</v>
      </c>
      <c r="C32" s="318"/>
      <c r="D32" s="29"/>
      <c r="E32" s="278" t="s">
        <v>153</v>
      </c>
      <c r="F32" s="278"/>
      <c r="G32" s="57"/>
      <c r="H32" s="58"/>
      <c r="I32" s="30"/>
      <c r="J32" s="30"/>
      <c r="K32" s="60"/>
    </row>
    <row r="33" spans="1:11" ht="37.5" customHeight="1">
      <c r="A33" s="205"/>
      <c r="B33" s="59"/>
      <c r="C33" s="59"/>
      <c r="D33" s="29"/>
      <c r="E33" s="29"/>
      <c r="F33" s="30"/>
      <c r="G33" s="60"/>
      <c r="H33" s="58"/>
      <c r="I33" s="30"/>
      <c r="J33" s="30"/>
      <c r="K33" s="60"/>
    </row>
    <row r="34" spans="1:11" ht="13.5" customHeight="1">
      <c r="A34" s="206"/>
      <c r="B34" s="278" t="s">
        <v>155</v>
      </c>
      <c r="C34" s="278"/>
      <c r="D34" s="61"/>
      <c r="E34" s="61"/>
      <c r="F34" s="62"/>
      <c r="G34" s="60"/>
      <c r="H34" s="58"/>
      <c r="I34" s="30"/>
      <c r="J34" s="30"/>
      <c r="K34" s="60"/>
    </row>
    <row r="35" spans="1:11" ht="14.25" customHeight="1">
      <c r="A35" s="207"/>
      <c r="B35" s="318" t="s">
        <v>156</v>
      </c>
      <c r="C35" s="318"/>
      <c r="D35" s="63"/>
      <c r="E35" s="63"/>
      <c r="F35" s="30"/>
      <c r="G35" s="60"/>
      <c r="H35" s="58"/>
      <c r="I35" s="30"/>
      <c r="J35" s="30"/>
      <c r="K35" s="60"/>
    </row>
    <row r="36" spans="1:11" ht="14.1" customHeight="1">
      <c r="A36" s="58"/>
      <c r="B36" s="30"/>
      <c r="C36" s="30"/>
      <c r="D36" s="29"/>
      <c r="E36" s="29"/>
      <c r="F36" s="30"/>
      <c r="G36" s="30"/>
      <c r="H36" s="58"/>
      <c r="I36" s="30"/>
      <c r="J36" s="30"/>
      <c r="K36" s="60"/>
    </row>
    <row r="37" spans="1:11">
      <c r="A37" s="208"/>
      <c r="B37" s="209"/>
      <c r="C37" s="209"/>
      <c r="D37" s="210"/>
      <c r="E37" s="210"/>
      <c r="F37" s="209"/>
      <c r="G37" s="209"/>
      <c r="H37" s="209"/>
      <c r="I37" s="209"/>
      <c r="J37" s="209"/>
      <c r="K37" s="211"/>
    </row>
  </sheetData>
  <mergeCells count="39">
    <mergeCell ref="A7:C7"/>
    <mergeCell ref="D7:H7"/>
    <mergeCell ref="I7:K7"/>
    <mergeCell ref="A3:K3"/>
    <mergeCell ref="A5:K5"/>
    <mergeCell ref="A6:C6"/>
    <mergeCell ref="I6:K6"/>
    <mergeCell ref="D6:E6"/>
    <mergeCell ref="B9:B10"/>
    <mergeCell ref="C9:C10"/>
    <mergeCell ref="B11:B12"/>
    <mergeCell ref="C11:C12"/>
    <mergeCell ref="B13:B14"/>
    <mergeCell ref="C13:C14"/>
    <mergeCell ref="A21:A22"/>
    <mergeCell ref="B21:B22"/>
    <mergeCell ref="C21:C22"/>
    <mergeCell ref="A15:A16"/>
    <mergeCell ref="B15:B16"/>
    <mergeCell ref="C15:C16"/>
    <mergeCell ref="A17:A18"/>
    <mergeCell ref="B17:B18"/>
    <mergeCell ref="C17:C18"/>
    <mergeCell ref="C25:C26"/>
    <mergeCell ref="B34:C34"/>
    <mergeCell ref="B35:C35"/>
    <mergeCell ref="A1:K1"/>
    <mergeCell ref="B31:C31"/>
    <mergeCell ref="A27:C28"/>
    <mergeCell ref="B32:C32"/>
    <mergeCell ref="E32:F32"/>
    <mergeCell ref="A23:A24"/>
    <mergeCell ref="B23:B24"/>
    <mergeCell ref="C23:C24"/>
    <mergeCell ref="A25:A26"/>
    <mergeCell ref="B25:B26"/>
    <mergeCell ref="A19:A20"/>
    <mergeCell ref="B19:B20"/>
    <mergeCell ref="C19:C20"/>
  </mergeCells>
  <printOptions horizontalCentered="1"/>
  <pageMargins left="0.39370078740157483" right="0.19685039370078741" top="0.59055118110236227" bottom="0.19685039370078741" header="0.19685039370078741" footer="0"/>
  <pageSetup paperSize="9" scale="67" orientation="landscape" horizontalDpi="4294967295" r:id="rId1"/>
  <headerFooter alignWithMargins="0"/>
  <drawing r:id="rId2"/>
  <legacyDrawing r:id="rId3"/>
  <oleObjects>
    <oleObject shapeId="6146" r:id="rId4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A1:I34"/>
  <sheetViews>
    <sheetView view="pageBreakPreview" topLeftCell="A7" zoomScaleSheetLayoutView="100" workbookViewId="0">
      <selection activeCell="F11" sqref="F11:G11"/>
    </sheetView>
  </sheetViews>
  <sheetFormatPr defaultRowHeight="12.75"/>
  <cols>
    <col min="1" max="2" width="9.140625" style="163"/>
    <col min="3" max="3" width="21" style="163" customWidth="1"/>
    <col min="4" max="4" width="25.28515625" style="163" customWidth="1"/>
    <col min="5" max="6" width="9.140625" style="163"/>
    <col min="7" max="7" width="34.7109375" style="163" customWidth="1"/>
    <col min="8" max="16384" width="9.140625" style="163"/>
  </cols>
  <sheetData>
    <row r="1" spans="1:7" ht="13.5" thickBot="1"/>
    <row r="2" spans="1:7" ht="72.75" customHeight="1" thickBot="1">
      <c r="B2" s="352" t="s">
        <v>84</v>
      </c>
      <c r="C2" s="353"/>
      <c r="D2" s="353"/>
      <c r="E2" s="353"/>
      <c r="F2" s="353"/>
      <c r="G2" s="354"/>
    </row>
    <row r="3" spans="1:7" ht="13.5" thickBot="1">
      <c r="B3" s="355" t="s">
        <v>191</v>
      </c>
      <c r="C3" s="356"/>
      <c r="D3" s="356"/>
      <c r="E3" s="356"/>
      <c r="F3" s="356"/>
      <c r="G3" s="357"/>
    </row>
    <row r="4" spans="1:7">
      <c r="B4" s="164" t="s">
        <v>192</v>
      </c>
      <c r="C4" s="358" t="s">
        <v>193</v>
      </c>
      <c r="D4" s="358"/>
      <c r="E4" s="358"/>
      <c r="F4" s="358"/>
      <c r="G4" s="359"/>
    </row>
    <row r="5" spans="1:7">
      <c r="B5" s="360" t="s">
        <v>194</v>
      </c>
      <c r="C5" s="361"/>
      <c r="D5" s="361"/>
      <c r="E5" s="361"/>
      <c r="F5" s="361"/>
      <c r="G5" s="362"/>
    </row>
    <row r="6" spans="1:7">
      <c r="A6" s="165"/>
      <c r="B6" s="363" t="s">
        <v>195</v>
      </c>
      <c r="C6" s="364"/>
      <c r="D6" s="364"/>
      <c r="E6" s="364"/>
      <c r="F6" s="364"/>
      <c r="G6" s="365"/>
    </row>
    <row r="7" spans="1:7">
      <c r="B7" s="166"/>
      <c r="C7" s="348" t="s">
        <v>196</v>
      </c>
      <c r="D7" s="349"/>
      <c r="E7" s="167" t="s">
        <v>197</v>
      </c>
      <c r="F7" s="350" t="s">
        <v>229</v>
      </c>
      <c r="G7" s="351"/>
    </row>
    <row r="8" spans="1:7">
      <c r="B8" s="166"/>
      <c r="C8" s="360" t="s">
        <v>226</v>
      </c>
      <c r="D8" s="348"/>
      <c r="E8" s="167" t="s">
        <v>227</v>
      </c>
      <c r="F8" s="380">
        <v>100</v>
      </c>
      <c r="G8" s="381"/>
    </row>
    <row r="9" spans="1:7">
      <c r="B9" s="166"/>
      <c r="C9" s="366" t="s">
        <v>198</v>
      </c>
      <c r="D9" s="367"/>
      <c r="E9" s="168" t="s">
        <v>199</v>
      </c>
      <c r="F9" s="368">
        <v>4.4999999999999998E-2</v>
      </c>
      <c r="G9" s="369"/>
    </row>
    <row r="10" spans="1:7">
      <c r="B10" s="166"/>
      <c r="C10" s="366" t="s">
        <v>200</v>
      </c>
      <c r="D10" s="367"/>
      <c r="E10" s="168" t="s">
        <v>201</v>
      </c>
      <c r="F10" s="368">
        <v>7.5499999999999998E-2</v>
      </c>
      <c r="G10" s="369"/>
    </row>
    <row r="11" spans="1:7">
      <c r="B11" s="166"/>
      <c r="C11" s="382" t="s">
        <v>202</v>
      </c>
      <c r="D11" s="366"/>
      <c r="E11" s="168" t="s">
        <v>203</v>
      </c>
      <c r="F11" s="383">
        <v>3.7000000000000002E-3</v>
      </c>
      <c r="G11" s="384"/>
    </row>
    <row r="12" spans="1:7">
      <c r="B12" s="166"/>
      <c r="C12" s="366" t="s">
        <v>228</v>
      </c>
      <c r="D12" s="367"/>
      <c r="F12" s="368">
        <v>1.7100000000000001E-2</v>
      </c>
      <c r="G12" s="369"/>
    </row>
    <row r="13" spans="1:7">
      <c r="B13" s="166"/>
      <c r="C13" s="382" t="s">
        <v>204</v>
      </c>
      <c r="D13" s="366"/>
      <c r="E13" s="168" t="s">
        <v>205</v>
      </c>
      <c r="F13" s="383">
        <v>3.0000000000000001E-3</v>
      </c>
      <c r="G13" s="384"/>
    </row>
    <row r="14" spans="1:7">
      <c r="B14" s="166"/>
      <c r="C14" s="366" t="s">
        <v>206</v>
      </c>
      <c r="D14" s="367"/>
      <c r="E14" s="168" t="s">
        <v>207</v>
      </c>
      <c r="F14" s="368">
        <v>4.4000000000000003E-3</v>
      </c>
      <c r="G14" s="369"/>
    </row>
    <row r="15" spans="1:7">
      <c r="B15" s="166"/>
      <c r="C15" s="366" t="s">
        <v>208</v>
      </c>
      <c r="D15" s="367"/>
      <c r="E15" s="168" t="s">
        <v>209</v>
      </c>
      <c r="F15" s="368">
        <v>9.7000000000000003E-3</v>
      </c>
      <c r="G15" s="369"/>
    </row>
    <row r="16" spans="1:7">
      <c r="B16" s="166"/>
      <c r="C16" s="366" t="s">
        <v>210</v>
      </c>
      <c r="D16" s="367"/>
      <c r="E16" s="168" t="s">
        <v>211</v>
      </c>
      <c r="F16" s="368">
        <v>7.1499999999999994E-2</v>
      </c>
      <c r="G16" s="369"/>
    </row>
    <row r="17" spans="1:9">
      <c r="B17" s="166"/>
      <c r="C17" s="366" t="s">
        <v>212</v>
      </c>
      <c r="D17" s="367"/>
      <c r="E17" s="168" t="s">
        <v>212</v>
      </c>
      <c r="F17" s="368">
        <v>3.5000000000000003E-2</v>
      </c>
      <c r="G17" s="369"/>
    </row>
    <row r="18" spans="1:9">
      <c r="B18" s="166"/>
      <c r="C18" s="366" t="s">
        <v>213</v>
      </c>
      <c r="D18" s="367"/>
      <c r="E18" s="168" t="s">
        <v>213</v>
      </c>
      <c r="F18" s="368">
        <v>6.4999999999999997E-3</v>
      </c>
      <c r="G18" s="369"/>
    </row>
    <row r="19" spans="1:9">
      <c r="B19" s="166"/>
      <c r="C19" s="366" t="s">
        <v>214</v>
      </c>
      <c r="D19" s="367"/>
      <c r="E19" s="169" t="s">
        <v>214</v>
      </c>
      <c r="F19" s="376">
        <v>0.03</v>
      </c>
      <c r="G19" s="377"/>
    </row>
    <row r="20" spans="1:9">
      <c r="B20" s="166"/>
      <c r="C20" s="366" t="s">
        <v>215</v>
      </c>
      <c r="D20" s="367"/>
      <c r="E20" s="168" t="s">
        <v>216</v>
      </c>
      <c r="F20" s="376">
        <v>4.4999999999999998E-2</v>
      </c>
      <c r="G20" s="377"/>
    </row>
    <row r="21" spans="1:9">
      <c r="B21" s="166"/>
      <c r="C21" s="378" t="s">
        <v>217</v>
      </c>
      <c r="D21" s="379" t="s">
        <v>218</v>
      </c>
      <c r="E21" s="361"/>
      <c r="F21" s="348"/>
      <c r="G21" s="387">
        <v>-1</v>
      </c>
    </row>
    <row r="22" spans="1:9">
      <c r="B22" s="166"/>
      <c r="C22" s="378"/>
      <c r="D22" s="388" t="s">
        <v>219</v>
      </c>
      <c r="E22" s="389"/>
      <c r="F22" s="390"/>
      <c r="G22" s="387"/>
    </row>
    <row r="23" spans="1:9">
      <c r="B23" s="170"/>
      <c r="C23" s="370" t="s">
        <v>220</v>
      </c>
      <c r="D23" s="371"/>
      <c r="E23" s="368">
        <f>(1+(F9+F13+F14+F15))*(1+F11)*(1+F10)</f>
        <v>1.1465150176350001</v>
      </c>
      <c r="F23" s="368"/>
      <c r="G23" s="369"/>
    </row>
    <row r="24" spans="1:9">
      <c r="B24" s="171"/>
      <c r="C24" s="370" t="s">
        <v>221</v>
      </c>
      <c r="D24" s="371"/>
      <c r="E24" s="368">
        <f>(1-(F16+F20))</f>
        <v>0.88349999999999995</v>
      </c>
      <c r="F24" s="368"/>
      <c r="G24" s="369"/>
    </row>
    <row r="25" spans="1:9" ht="13.5" thickBot="1">
      <c r="B25" s="172"/>
      <c r="C25" s="372" t="s">
        <v>222</v>
      </c>
      <c r="D25" s="373"/>
      <c r="E25" s="374">
        <f>(E23/E24)-1</f>
        <v>0.29769668096774216</v>
      </c>
      <c r="F25" s="374"/>
      <c r="G25" s="375"/>
    </row>
    <row r="27" spans="1:9">
      <c r="A27" s="386" t="s">
        <v>223</v>
      </c>
      <c r="B27" s="386"/>
      <c r="C27" s="386"/>
      <c r="D27" s="386"/>
      <c r="E27" s="386"/>
      <c r="F27" s="386"/>
      <c r="G27" s="386"/>
      <c r="H27" s="386"/>
      <c r="I27" s="173"/>
    </row>
    <row r="28" spans="1:9">
      <c r="B28" s="174"/>
      <c r="C28" s="174"/>
      <c r="D28" s="174"/>
      <c r="E28" s="174"/>
      <c r="F28" s="175"/>
      <c r="G28" s="173"/>
      <c r="H28" s="173"/>
      <c r="I28" s="173"/>
    </row>
    <row r="29" spans="1:9">
      <c r="B29" s="176"/>
      <c r="C29" s="174"/>
      <c r="D29" s="174"/>
      <c r="E29" s="174"/>
      <c r="F29" s="175"/>
      <c r="G29" s="173"/>
      <c r="H29" s="173"/>
      <c r="I29" s="173"/>
    </row>
    <row r="30" spans="1:9">
      <c r="A30" s="177" t="s">
        <v>224</v>
      </c>
      <c r="B30" s="174"/>
      <c r="C30" s="174"/>
      <c r="D30" s="174"/>
      <c r="E30" s="175"/>
      <c r="F30" s="173"/>
      <c r="G30" s="173"/>
      <c r="H30" s="173"/>
      <c r="I30" s="178"/>
    </row>
    <row r="31" spans="1:9">
      <c r="A31" s="391" t="s">
        <v>225</v>
      </c>
      <c r="B31" s="391"/>
      <c r="C31" s="391"/>
      <c r="D31" s="391"/>
      <c r="E31" s="391"/>
      <c r="F31" s="391"/>
      <c r="G31" s="391"/>
      <c r="H31" s="391"/>
      <c r="I31" s="179"/>
    </row>
    <row r="32" spans="1:9">
      <c r="A32" s="392" t="s">
        <v>189</v>
      </c>
      <c r="B32" s="392"/>
      <c r="C32" s="392"/>
      <c r="D32" s="392"/>
      <c r="E32" s="392"/>
      <c r="F32" s="392"/>
      <c r="G32" s="392"/>
      <c r="H32" s="392"/>
      <c r="I32" s="180"/>
    </row>
    <row r="33" spans="1:9">
      <c r="A33" s="385" t="s">
        <v>157</v>
      </c>
      <c r="B33" s="385"/>
      <c r="C33" s="385"/>
      <c r="D33" s="385"/>
      <c r="E33" s="385"/>
      <c r="F33" s="385"/>
      <c r="G33" s="385"/>
      <c r="H33" s="385"/>
      <c r="I33" s="181"/>
    </row>
    <row r="34" spans="1:9">
      <c r="A34" s="386" t="s">
        <v>190</v>
      </c>
      <c r="B34" s="386"/>
      <c r="C34" s="386"/>
      <c r="D34" s="386"/>
      <c r="E34" s="386"/>
      <c r="F34" s="386"/>
      <c r="G34" s="386"/>
      <c r="H34" s="386"/>
    </row>
  </sheetData>
  <mergeCells count="48">
    <mergeCell ref="A33:H33"/>
    <mergeCell ref="A34:H34"/>
    <mergeCell ref="G21:G22"/>
    <mergeCell ref="D22:F22"/>
    <mergeCell ref="A27:H27"/>
    <mergeCell ref="A31:H31"/>
    <mergeCell ref="A32:H32"/>
    <mergeCell ref="C16:D16"/>
    <mergeCell ref="F16:G16"/>
    <mergeCell ref="C17:D17"/>
    <mergeCell ref="F17:G17"/>
    <mergeCell ref="C18:D18"/>
    <mergeCell ref="F18:G18"/>
    <mergeCell ref="C8:D8"/>
    <mergeCell ref="F8:G8"/>
    <mergeCell ref="C11:D11"/>
    <mergeCell ref="F11:G11"/>
    <mergeCell ref="C13:D13"/>
    <mergeCell ref="F13:G13"/>
    <mergeCell ref="C9:D9"/>
    <mergeCell ref="F9:G9"/>
    <mergeCell ref="C10:D10"/>
    <mergeCell ref="F10:G10"/>
    <mergeCell ref="C12:D12"/>
    <mergeCell ref="F12:G12"/>
    <mergeCell ref="C14:D14"/>
    <mergeCell ref="F14:G14"/>
    <mergeCell ref="C24:D24"/>
    <mergeCell ref="E24:G24"/>
    <mergeCell ref="C25:D25"/>
    <mergeCell ref="E25:G25"/>
    <mergeCell ref="C19:D19"/>
    <mergeCell ref="F19:G19"/>
    <mergeCell ref="C20:D20"/>
    <mergeCell ref="F20:G20"/>
    <mergeCell ref="C21:C22"/>
    <mergeCell ref="D21:F21"/>
    <mergeCell ref="C15:D15"/>
    <mergeCell ref="F15:G15"/>
    <mergeCell ref="C23:D23"/>
    <mergeCell ref="E23:G23"/>
    <mergeCell ref="C7:D7"/>
    <mergeCell ref="F7:G7"/>
    <mergeCell ref="B2:G2"/>
    <mergeCell ref="B3:G3"/>
    <mergeCell ref="C4:G4"/>
    <mergeCell ref="B5:G5"/>
    <mergeCell ref="B6:G6"/>
  </mergeCells>
  <pageMargins left="0.511811024" right="0.511811024" top="0.78740157499999996" bottom="0.78740157499999996" header="0.31496062000000002" footer="0.31496062000000002"/>
  <pageSetup paperSize="9" scale="74" orientation="portrait" r:id="rId1"/>
  <legacyDrawing r:id="rId2"/>
  <oleObjects>
    <oleObject shapeId="8193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Planilha Orcamentaria</vt:lpstr>
      <vt:lpstr>Memoria de calculo</vt:lpstr>
      <vt:lpstr>CRONOGRAMA FISICO FINANCEIRO</vt:lpstr>
      <vt:lpstr>BDI</vt:lpstr>
      <vt:lpstr>'CRONOGRAMA FISICO FINANCEIRO'!Area_de_impressao</vt:lpstr>
      <vt:lpstr>'Memoria de calculo'!Area_de_impressao</vt:lpstr>
      <vt:lpstr>'Planilha Orcamentaria'!Area_de_impressao</vt:lpstr>
      <vt:lpstr>'Memoria de calculo'!Titulos_de_impressao</vt:lpstr>
    </vt:vector>
  </TitlesOfParts>
  <Company>Setop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User</cp:lastModifiedBy>
  <cp:lastPrinted>2020-06-12T15:52:09Z</cp:lastPrinted>
  <dcterms:created xsi:type="dcterms:W3CDTF">2006-09-22T13:55:22Z</dcterms:created>
  <dcterms:modified xsi:type="dcterms:W3CDTF">2020-10-14T11:26:36Z</dcterms:modified>
</cp:coreProperties>
</file>