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1355" windowHeight="8445"/>
  </bookViews>
  <sheets>
    <sheet name="Planilha Orcamentaria" sheetId="5" r:id="rId1"/>
    <sheet name="Memoria de calculo" sheetId="9" r:id="rId2"/>
    <sheet name="CRONOGRAMA FISICO FINANCEIRO" sheetId="8" r:id="rId3"/>
    <sheet name="BDI" sheetId="10" r:id="rId4"/>
  </sheets>
  <definedNames>
    <definedName name="_xlnm.Print_Area" localSheetId="2">'CRONOGRAMA FISICO FINANCEIRO'!$A$1:$K$29</definedName>
    <definedName name="_xlnm.Print_Area" localSheetId="1">'Memoria de calculo'!$A$1:$E$58</definedName>
    <definedName name="_xlnm.Print_Area" localSheetId="0">'Planilha Orcamentaria'!$A$1:$H$71</definedName>
    <definedName name="_xlnm.Print_Titles" localSheetId="1">'Memoria de calculo'!$9:$9</definedName>
  </definedNames>
  <calcPr calcId="124519"/>
  <fileRecoveryPr autoRecover="0"/>
</workbook>
</file>

<file path=xl/calcChain.xml><?xml version="1.0" encoding="utf-8"?>
<calcChain xmlns="http://schemas.openxmlformats.org/spreadsheetml/2006/main">
  <c r="G52" i="5"/>
  <c r="G51"/>
  <c r="G50"/>
  <c r="G33"/>
  <c r="G32"/>
  <c r="G31"/>
  <c r="E24" i="9"/>
  <c r="E25"/>
  <c r="E27" s="1"/>
  <c r="E31" i="5" s="1"/>
  <c r="E42" i="9"/>
  <c r="E41"/>
  <c r="H31" i="5" l="1"/>
  <c r="H32"/>
  <c r="E28" i="9"/>
  <c r="E32" i="5" s="1"/>
  <c r="E29" i="9"/>
  <c r="E33" i="5" s="1"/>
  <c r="H33" s="1"/>
  <c r="F12" i="9" l="1"/>
  <c r="E35" l="1"/>
  <c r="E18" l="1"/>
  <c r="E19" s="1"/>
  <c r="E12" l="1"/>
  <c r="K12" l="1"/>
  <c r="E24" i="10" l="1"/>
  <c r="E23"/>
  <c r="E49" i="9"/>
  <c r="E56" i="5" s="1"/>
  <c r="E32" i="9"/>
  <c r="E37" i="5" s="1"/>
  <c r="F13" i="9"/>
  <c r="G17" i="5"/>
  <c r="H17" s="1"/>
  <c r="G55"/>
  <c r="H55" s="1"/>
  <c r="G56"/>
  <c r="G42"/>
  <c r="G43"/>
  <c r="G44"/>
  <c r="G45"/>
  <c r="G46"/>
  <c r="G47"/>
  <c r="G48"/>
  <c r="G49"/>
  <c r="G53"/>
  <c r="G41"/>
  <c r="G37"/>
  <c r="G23"/>
  <c r="G24"/>
  <c r="G25"/>
  <c r="G26"/>
  <c r="G27"/>
  <c r="G28"/>
  <c r="G29"/>
  <c r="G30"/>
  <c r="G34"/>
  <c r="G22"/>
  <c r="G15"/>
  <c r="G18"/>
  <c r="H18" s="1"/>
  <c r="G14"/>
  <c r="H14" s="1"/>
  <c r="G21"/>
  <c r="H21" s="1"/>
  <c r="E48" l="1"/>
  <c r="H48" s="1"/>
  <c r="E46" i="9"/>
  <c r="E52" i="5" s="1"/>
  <c r="H52" s="1"/>
  <c r="E45" i="9"/>
  <c r="E51" i="5" s="1"/>
  <c r="H51" s="1"/>
  <c r="E44" i="9"/>
  <c r="E50" i="5" s="1"/>
  <c r="H50" s="1"/>
  <c r="E29"/>
  <c r="H29" s="1"/>
  <c r="E30" i="9"/>
  <c r="E34" i="5" s="1"/>
  <c r="H34" s="1"/>
  <c r="H56"/>
  <c r="H57" s="1"/>
  <c r="E18" i="8" s="1"/>
  <c r="G18" s="1"/>
  <c r="E25" i="10"/>
  <c r="E47" i="5"/>
  <c r="H47" s="1"/>
  <c r="E28"/>
  <c r="H28" s="1"/>
  <c r="H37"/>
  <c r="H38" s="1"/>
  <c r="E14" i="8" s="1"/>
  <c r="H14" s="1"/>
  <c r="E43" i="9"/>
  <c r="E49" i="5" s="1"/>
  <c r="H49" s="1"/>
  <c r="E47" i="9"/>
  <c r="E53" i="5" s="1"/>
  <c r="H53" s="1"/>
  <c r="E26" i="9"/>
  <c r="E30" i="5" s="1"/>
  <c r="H30" s="1"/>
  <c r="E20" i="9"/>
  <c r="E22" i="5"/>
  <c r="H22" s="1"/>
  <c r="E24" l="1"/>
  <c r="H24" s="1"/>
  <c r="F20" i="9"/>
  <c r="E21" s="1"/>
  <c r="F14" i="8"/>
  <c r="J14"/>
  <c r="K14"/>
  <c r="I14"/>
  <c r="G14"/>
  <c r="G23" i="9"/>
  <c r="E23"/>
  <c r="E27" i="5" s="1"/>
  <c r="H27" s="1"/>
  <c r="E23"/>
  <c r="H23" s="1"/>
  <c r="E41"/>
  <c r="H41" s="1"/>
  <c r="E37" i="9"/>
  <c r="G6" s="1"/>
  <c r="E43" i="5" l="1"/>
  <c r="H43" s="1"/>
  <c r="F37" i="9"/>
  <c r="E38" s="1"/>
  <c r="E15" i="5"/>
  <c r="H15" s="1"/>
  <c r="F21" i="9"/>
  <c r="E22" s="1"/>
  <c r="E26" i="5" s="1"/>
  <c r="H26" s="1"/>
  <c r="E25"/>
  <c r="H25" s="1"/>
  <c r="G40" i="9"/>
  <c r="E36"/>
  <c r="E42" i="5" s="1"/>
  <c r="H42" s="1"/>
  <c r="E40" i="9"/>
  <c r="E46" i="5" s="1"/>
  <c r="H46" s="1"/>
  <c r="K18" l="1"/>
  <c r="H35"/>
  <c r="F38" i="9"/>
  <c r="E39" s="1"/>
  <c r="E45" i="5" s="1"/>
  <c r="H45" s="1"/>
  <c r="E44"/>
  <c r="H44" s="1"/>
  <c r="E12" i="8" l="1"/>
  <c r="H54" i="5"/>
  <c r="E16" i="8" s="1"/>
  <c r="I16" i="5" l="1"/>
  <c r="H16" s="1"/>
  <c r="H19" s="1"/>
  <c r="H58" s="1"/>
  <c r="I12" i="8"/>
  <c r="K12"/>
  <c r="G12"/>
  <c r="H12"/>
  <c r="J12"/>
  <c r="F12"/>
  <c r="I18"/>
  <c r="I16"/>
  <c r="J18"/>
  <c r="G16"/>
  <c r="K18"/>
  <c r="F16"/>
  <c r="K16"/>
  <c r="J16"/>
  <c r="H16"/>
  <c r="H18"/>
  <c r="F18"/>
  <c r="E10" l="1"/>
  <c r="G16" i="5"/>
  <c r="J10" i="8" l="1"/>
  <c r="E20"/>
  <c r="F10"/>
  <c r="F20" s="1"/>
  <c r="K10"/>
  <c r="I10"/>
  <c r="G10"/>
  <c r="G20" s="1"/>
  <c r="H10"/>
  <c r="F19" l="1"/>
  <c r="H19"/>
  <c r="I19"/>
  <c r="E11"/>
  <c r="E15"/>
  <c r="E17"/>
  <c r="K19"/>
  <c r="E9"/>
  <c r="E13"/>
  <c r="J19"/>
  <c r="G19"/>
  <c r="E19" l="1"/>
</calcChain>
</file>

<file path=xl/sharedStrings.xml><?xml version="1.0" encoding="utf-8"?>
<sst xmlns="http://schemas.openxmlformats.org/spreadsheetml/2006/main" count="445" uniqueCount="250">
  <si>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</si>
  <si>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</si>
  <si>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</si>
  <si>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</si>
  <si>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</si>
  <si>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</si>
  <si>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</si>
  <si>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</si>
  <si>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</si>
  <si>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LDI</t>
  </si>
  <si>
    <t>PREÇO TOTAL</t>
  </si>
  <si>
    <t xml:space="preserve">FORMA DE EXECUÇÃO: </t>
  </si>
  <si>
    <t>PREÇO UNITÁRIO S/ LDI</t>
  </si>
  <si>
    <t>PREÇO UNITÁRIO C/ LDI</t>
  </si>
  <si>
    <t>1.1</t>
  </si>
  <si>
    <t>IIO-001</t>
  </si>
  <si>
    <t>INSTALAÇÕES INICIAIS DA OBRA</t>
  </si>
  <si>
    <t>1.2</t>
  </si>
  <si>
    <t>IIO-PLA-005</t>
  </si>
  <si>
    <t>OBR-001</t>
  </si>
  <si>
    <t>OBRAS VIÁRIAS</t>
  </si>
  <si>
    <t>2.1</t>
  </si>
  <si>
    <t>OBR-VIA-130</t>
  </si>
  <si>
    <t>REGULARIZAÇÃO DO SUBLEITO COM PROCTOR INTERMEDIÁRIO</t>
  </si>
  <si>
    <t>OBR-VIA-145</t>
  </si>
  <si>
    <t>OBR-VIA-435</t>
  </si>
  <si>
    <t>OBR-VIA-165</t>
  </si>
  <si>
    <t>OBR-VIA-160</t>
  </si>
  <si>
    <t>DRE-001</t>
  </si>
  <si>
    <t>3.1</t>
  </si>
  <si>
    <t>TOTAL GERAL DA OBRA</t>
  </si>
  <si>
    <t xml:space="preserve">FOLHA Nº: </t>
  </si>
  <si>
    <t>PREFEITURA: PREFEITURA MUNICIPAL DE CORAÇÃO DE JESUS</t>
  </si>
  <si>
    <t>FORNECIMENTO E COLOCAÇÃO DE PLACA DE OBRA EM CHAPA GALVANIZADA (3,00 X 1,50 M) - EM CHAPA GALVANIZADA 0,26 AFIXADAS COM REBITES 540 E PARAFUSOS 3/8, EM ESTRUTURA METÁLICA VIGA U 2" ENRIJECIDA COM METALON 20 X 20, SUPORTE EM EUCALIPTO AUTOCLAVADO PINTADAS NE FRENTE E NO VERSO COM FUNDO ANTICORROSIVO E TINTA AUTOMOTIVA, CONFORME MANUAL DE IDENTIDADE VISUAL DO GOVERNO DE MINAS</t>
  </si>
  <si>
    <t>unid.</t>
  </si>
  <si>
    <t>m²</t>
  </si>
  <si>
    <t>1.3</t>
  </si>
  <si>
    <t>MOB-DES-020</t>
  </si>
  <si>
    <t>MOBILIZAÇÃO E DESMOBILIZAÇÃO DE OBRA - PARA OBRAS EXECUTADAS EM CENTROS URBANOS OU PRÓXIMOS DE CENTROS URBANOS - 0,5% DO TOTAL</t>
  </si>
  <si>
    <t>%</t>
  </si>
  <si>
    <t>1.4</t>
  </si>
  <si>
    <t>1.0</t>
  </si>
  <si>
    <t>2.0</t>
  </si>
  <si>
    <t>2.1.1</t>
  </si>
  <si>
    <t>OBR-VIA-015</t>
  </si>
  <si>
    <t>2.1.2</t>
  </si>
  <si>
    <t xml:space="preserve">TRA-CAM-020 </t>
  </si>
  <si>
    <t>2.1.3</t>
  </si>
  <si>
    <t>2.1.4</t>
  </si>
  <si>
    <t>4743</t>
  </si>
  <si>
    <t>2.1.5</t>
  </si>
  <si>
    <t>OBR-VIA-320</t>
  </si>
  <si>
    <t>2.1.6</t>
  </si>
  <si>
    <t>2.1.7</t>
  </si>
  <si>
    <t>2.1.8</t>
  </si>
  <si>
    <t>2.1.10</t>
  </si>
  <si>
    <t>ESCAVAÇÃO E CARGA COM TRATOR E CARREGADEIRA (MATERIAL DE 1ª CATEGORIA)</t>
  </si>
  <si>
    <t>m³</t>
  </si>
  <si>
    <t xml:space="preserve">TRANSPORTE DE MATERIAL DE QUALQUER NATUREZA EM
CAMINHÃO DMT &gt; 5 KM (DENTRO DO PERÍMETRO URBANO)
</t>
  </si>
  <si>
    <t>m³xKm</t>
  </si>
  <si>
    <t xml:space="preserve">TRANSPORTE DE MATERIAL DE JAZIDA PARA CONSERVAÇÃO.
DISTÂNCIA MÉDIA DE TRANSPORTE DE 10,10 A 15,00 KM </t>
  </si>
  <si>
    <t>TxKm</t>
  </si>
  <si>
    <t>2.2.0</t>
  </si>
  <si>
    <t>SERVIÇOS COMPLEMENTARES - DRENAGEM</t>
  </si>
  <si>
    <t>2.2.1</t>
  </si>
  <si>
    <t>DRE-SAR-025</t>
  </si>
  <si>
    <t>m</t>
  </si>
  <si>
    <t>LOCAL:  TRECHOS DE RUAS URBANAS DE CORAÇÃO DE JESUS</t>
  </si>
  <si>
    <t>( X )</t>
  </si>
  <si>
    <t xml:space="preserve"> SUB TOTAL</t>
  </si>
  <si>
    <t>SUB TOTAL</t>
  </si>
  <si>
    <t>PREFEITURA MUNICIPAL DE CORAÇÃO DE JESUS
ESTADO DE MINAS GERAIS</t>
  </si>
  <si>
    <t>3.0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</si>
  <si>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</si>
  <si>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</si>
  <si>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</si>
  <si>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</si>
  <si>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</si>
  <si>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</si>
  <si>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</si>
  <si>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</si>
  <si>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3.1.10</t>
  </si>
  <si>
    <t>3.2.0</t>
  </si>
  <si>
    <t>3.2.1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</si>
  <si>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</si>
  <si>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</si>
  <si>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</si>
  <si>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</si>
  <si>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</si>
  <si>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</si>
  <si>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</si>
  <si>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</si>
  <si>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</si>
  <si>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</si>
  <si>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</si>
  <si>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</si>
  <si>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TOTAL</t>
  </si>
  <si>
    <t xml:space="preserve"> </t>
  </si>
  <si>
    <t>Observações:</t>
  </si>
  <si>
    <t>PREFEITURA:PREFEITURA MUNICIPAL DE CORAÇÃO DE JESUS</t>
  </si>
  <si>
    <t>OBRA: PAVIMENTAÇÃO DE VIAS PUBLICAS EM PMF - ESPESSURA 3,00cm</t>
  </si>
  <si>
    <t>OBRA:  PAVIMENTAÇÃO DE VIAS PUBLICAS EM PMF - ESPESSURA 3,00cm</t>
  </si>
  <si>
    <t>LOCAL: TRECHOS DE RUAS URBANAS DE CORAÇÃO DE JESUS</t>
  </si>
  <si>
    <t>CREA-MG 201739/D</t>
  </si>
  <si>
    <t>JOSÉ RAMOS LAFETA NETO</t>
  </si>
  <si>
    <t>ROBSON ADALBERTO MOTA DIAS</t>
  </si>
  <si>
    <t>PREFEITO MUNICIPAL</t>
  </si>
  <si>
    <t>ENGENHEIRO CIVIL</t>
  </si>
  <si>
    <t>BANHEIRO QUÍMICO 110 X 120 X 230 CM COM MANUTENÇÃO</t>
  </si>
  <si>
    <t>IIO-SAN-005</t>
  </si>
  <si>
    <t>MÊS</t>
  </si>
  <si>
    <t>MEMORIA DE CALCULO DE QUANTITATIVOS</t>
  </si>
  <si>
    <t>PREFEITURA MUNICIPAL DE CORAÇÃO DE JESUS</t>
  </si>
  <si>
    <t>OBRA: PAVIMENTAÇÃO DE VIAS PUBLICAS EM PMF - ESPESSURA 3,00 CM</t>
  </si>
  <si>
    <t>FORMULAS</t>
  </si>
  <si>
    <t>1.1.1</t>
  </si>
  <si>
    <t>1.1.2</t>
  </si>
  <si>
    <t>1.1.3</t>
  </si>
  <si>
    <t>Mobilização e desmobilização de obra em centros urbanos ou próximos de centros urbanos</t>
  </si>
  <si>
    <t>VERBA DE MOBILIZAÇÃO E DESMOBILIZAÇÃO DE OBRA (0,5% DO RECURSO TOTAL)</t>
  </si>
  <si>
    <t>1.1.4</t>
  </si>
  <si>
    <t>2.1.0</t>
  </si>
  <si>
    <t>AREA PISTA</t>
  </si>
  <si>
    <t>MEIO FIO</t>
  </si>
  <si>
    <t>COMPRIMENTO</t>
  </si>
  <si>
    <t>AREA TOTAL</t>
  </si>
  <si>
    <t>2.1.9</t>
  </si>
  <si>
    <t>SERVIÇOS COMPLEMENTARES</t>
  </si>
  <si>
    <t>3.1.0</t>
  </si>
  <si>
    <t>3.1.9</t>
  </si>
  <si>
    <t>Coração de Jesus/MG,17 de Janeiro de 2020</t>
  </si>
  <si>
    <t>_______________________________________</t>
  </si>
  <si>
    <t>JOSÉ RAMOS LAFETÁ NETO</t>
  </si>
  <si>
    <t xml:space="preserve"> CREA - MG-201739/D</t>
  </si>
  <si>
    <t>COMPOSIÇÃO DE LDI</t>
  </si>
  <si>
    <t>OBRA:</t>
  </si>
  <si>
    <t xml:space="preserve"> PAVIMENTAÇÃO DE VIAS PUBLICAS EM PMF - ESPESSURA 3,00 CM - CORAÇÃO DE JESUS</t>
  </si>
  <si>
    <t>CÁLCULO DE COMPOSIÇÃO DE LDI</t>
  </si>
  <si>
    <t>LDI (conforme Ácordão Nº 2622/13)- Construção de Edificios</t>
  </si>
  <si>
    <t>DISCRIMINAÇÃO DAS PARCELAS</t>
  </si>
  <si>
    <t>SIGLA</t>
  </si>
  <si>
    <t>Administração Central</t>
  </si>
  <si>
    <t>AC</t>
  </si>
  <si>
    <t>Lucro</t>
  </si>
  <si>
    <t>L</t>
  </si>
  <si>
    <t>Despesas Finaceiras</t>
  </si>
  <si>
    <t>DF</t>
  </si>
  <si>
    <t>Seguros</t>
  </si>
  <si>
    <t>S</t>
  </si>
  <si>
    <t>Garantias</t>
  </si>
  <si>
    <t>G</t>
  </si>
  <si>
    <t>Risco</t>
  </si>
  <si>
    <t>R</t>
  </si>
  <si>
    <t>Tributos</t>
  </si>
  <si>
    <t>I</t>
  </si>
  <si>
    <t>ISS</t>
  </si>
  <si>
    <t>PIS</t>
  </si>
  <si>
    <t>CONFINS</t>
  </si>
  <si>
    <t>INSS</t>
  </si>
  <si>
    <t>CPRB</t>
  </si>
  <si>
    <t>FÓRMULA DO BDI =</t>
  </si>
  <si>
    <t>(1+(AC+S+G+R))*(1+DF)*(1+L)</t>
  </si>
  <si>
    <t>(1 - (I + CPRB)</t>
  </si>
  <si>
    <t xml:space="preserve">BDI(numerador) = </t>
  </si>
  <si>
    <t xml:space="preserve">BDI(denominador) = </t>
  </si>
  <si>
    <t xml:space="preserve">BDI TOTAL = </t>
  </si>
  <si>
    <t>Coração de Jesus/MG,17 de Janeiro de 2020.</t>
  </si>
  <si>
    <t xml:space="preserve">                    </t>
  </si>
  <si>
    <t>_________________________________________</t>
  </si>
  <si>
    <t>Custo Direto</t>
  </si>
  <si>
    <t>CD</t>
  </si>
  <si>
    <t>Seguros, Garantias e Risco</t>
  </si>
  <si>
    <t>ISS= 5 %</t>
  </si>
  <si>
    <t>1.1.5</t>
  </si>
  <si>
    <t>1.5</t>
  </si>
  <si>
    <t>-</t>
  </si>
  <si>
    <t>BASE DE SOLO SEM MISTURA, COMPACTADA NA ENERGIA DO PROCTOR INTERMEDIÁRIO (EXECUÇÃO, INCLUINDO ESCAVAÇÃO, CARGA, DESCARGA, ESPALHAMENTO, UMIDECIMENTO E
COMPACTAÇÃO DO MATERIAL; EXCLUI AQUISIÇÃO E TRANSPORTE DO MATERIAL)</t>
  </si>
  <si>
    <t>IMPRIMAÇÃO (EXECUÇÃO E FORNECIMENTO DO MATERIAL BETUMINOSO, EXCLUSIVE TRANSPORTE DO MATERIAL BETUMINOSO)</t>
  </si>
  <si>
    <t xml:space="preserve">TRANSPORTE DE MATERIAL DE QUALQUER NATUREZA. DISTÂNCIA MÉDIA DE TRANSPORTE &gt;= 50,10 KM </t>
  </si>
  <si>
    <t>PINTURA DE LIGAÇÃO (EXECUÇÃO E FORNECIMENTO DO MATERIAL BETUMINOSO, EXCLUSIVE TRANSPORTE DO MATERIAL BETUMINOSO)</t>
  </si>
  <si>
    <t>MEIO-FIO COM SARJETA, EXECUTADO C/EXTRUSORA (SARJETA 30X8CM MEIO-FIO 15X10CM X H=23CM), INCLUI ESCAVAÇÃO E ACERTO FAIXA 0,45M</t>
  </si>
  <si>
    <t>FORNECIMENTO E COLOCAÇÃO DE PLACA DE OBRA EM CHAPA GALVANIZADA (3,00 X 1,50 M) - EM CHAPA GALVANIZADA 0,26 AFIXADAS COM REBITES 540 E PARAFUSOS 3/8, EM ESTRUTURA METÁLICA VIGA U 2" ENRIJECIDA COM METALON 20 X 20, SUPORTE EM EUCALIPTO AUTOCLAVADO PINTADAS NE FRENTE E NO VERSO COM FUNDO  ANTICORROSIVO E TINTA AUTOMOTIVA, CONFORME MANUAL DE IDENTIDADE VISUAL DO GOVERNO DE MINAS</t>
  </si>
  <si>
    <t xml:space="preserve">1 PLACA DE OBRA TAMANHO PADRÃO -&gt; 3,00m X 1,50m </t>
  </si>
  <si>
    <r>
      <t xml:space="preserve">LOCAL: </t>
    </r>
    <r>
      <rPr>
        <sz val="10"/>
        <color indexed="8"/>
        <rFont val="Arial"/>
        <family val="2"/>
      </rPr>
      <t xml:space="preserve">  TRECHOS DE RUAS URBANAS DE CORAÇÃO DE JESUS</t>
    </r>
  </si>
  <si>
    <t>LOCAÇÃO TOPOGRÁFICA ACIMA DE 50 PONTOS</t>
  </si>
  <si>
    <t xml:space="preserve">LOC-TOP-015 </t>
  </si>
  <si>
    <t>UNID.</t>
  </si>
  <si>
    <t>CASCALHO DE CAVA (AQUISIÇÃO)</t>
  </si>
  <si>
    <t xml:space="preserve">IIO-BAR-015
</t>
  </si>
  <si>
    <t>BARRACÃO DE OBRA PARA DEPÓSITO E FERRAMENTARIA TIPO-I,
ÁREA INTERNA 14,52M2, EM CHAPA DE COMPENSADO RESINADO,
INCLUSIVE MOBILIÁRIO (OBRA DE PEQUENO PORTE, EFETIVO ATÉ 30
HOMENS), PADRÃO DEER-MG</t>
  </si>
  <si>
    <t>BARRACÃO DE OBRA PARA DEPÓSITO E FERRAMENTARIA TIPO-I, ÁREA INTERNA 14,52M2, EM CHAPA DE COMPENSADO RESINADO, INCLUSIVE MOBILIÁRIO (OBRA DE PEQUENO PORTE, EFETIVO ATÉ 30 HOMENS), PADRÃO DEER-MG</t>
  </si>
  <si>
    <t xml:space="preserve">1 BARRACÃO </t>
  </si>
  <si>
    <t xml:space="preserve">OBR-VIA-190 </t>
  </si>
  <si>
    <t xml:space="preserve">PRÉ-MISTURADO A FRIO - PMF (EXECUÇÃO, INCLUINDO USINAGEM, APLICAÇÃO, ESPALHAMENTO E COMPACTAÇÃO, FORNECIMENTO DOS AGREGADOS E MATERIAL BETUMINOSO, EXCLUI TRANSPORTE DOS AGREGADOS E DO MATERIAL BETUMINOSO ATÉ USINA E DA MASSA PRONTA ATÉ A PISTA)
</t>
  </si>
  <si>
    <t>BOTA FORA DO MATERIAL ESCAVADO CONFORME ITEM 2.1.1 -&gt;94,41 m³ x 8km</t>
  </si>
  <si>
    <t xml:space="preserve"> AREA DE REGULARIZAÇÃO VEZES ESPESSURA (PROFUNDIDADE) DE ESCAVAÇÃO-&gt; 629,41m² x 0,15m</t>
  </si>
  <si>
    <t>VOLUME DE MATERIAL DA BASE VEZES DMT -&gt; 94,41m³ x 11,8km</t>
  </si>
  <si>
    <t>VOLUME ESCAVADO AREA DE REGULARIZAÇÃO VEZES ESPESSURA (PROFUNDIDADE) DE ESCAVAÇÃO  -629,41m² x 0,15m</t>
  </si>
  <si>
    <t xml:space="preserve">COMPRIMENTO VEZES LARGURA MEDIA DA PISTA  VEZES EXPESSURA DE CORTE:( (14,04m+16,13m+55,97m)/2 +(16,34m+55,63m+14,34m)/2 )x7,30m x 0,15m </t>
  </si>
  <si>
    <t>COMPRIMENTO VEZES LARGURA MEDIA DA PISTA   ((14,04m+16,13m+55,97m)/2 +(16,34m+55,63m+14,34m)/2) *7,3m</t>
  </si>
  <si>
    <t>ÁREA DE APLICAÇÃO DO MATERIAL VEZES O PESO POR M² (CM30 + RR1C) VEZES A DISTÂNCIA DA REFINARIA ATÉ A OBRA-&gt; (560,46m²) x (0,0012t/m² + 0,0005t/m²) x (434km + 86km)</t>
  </si>
  <si>
    <t>ÁREA DE APLICAÇÃO DO MATERIAL VEZES ESPESSURA DA PAVIMENTAÇÃO -&gt; (560,46m² x 0,03m)</t>
  </si>
  <si>
    <t>SOMATÓRIO DE MEIO-FIO COM SARJETA+ AMARAÇÃO FINAL COM SARJETA: 14,04+16,13+55,97+14,34+16,34+36,48</t>
  </si>
  <si>
    <t xml:space="preserve">COMPRIMENTO VEZES LARGURA MEDIA DA PISTA  VEZES EXPESSURA DE CORTE:  (96,11+16,94+9,07+6,89+3,55)/2 + (96,49+16,70+7,08+5,42+3,31)/2 *6,8mX 0,15m </t>
  </si>
  <si>
    <t>BOTA FORA DO MATERIAL ESCAVADO CONFORME ITEM 2.1.1 -&gt;149,72m³ x 8km</t>
  </si>
  <si>
    <t>VOLUME ESCAVADO AREA DE REGULARIZAÇÃO VEZES ESPESSURA (PROFUNDIDADE) DE ESCAVAÇÃO-&gt; 998,15m² x 0,15m</t>
  </si>
  <si>
    <t>VOLUME DE MATERIAL DA BASE VEZES DMT -&gt;149,72m³ x 11,8km</t>
  </si>
  <si>
    <t>LARGURA PISTA ROLAMENTO VEZES COMPRIMENTO MAIS  ACABAMENTO CURVA DE CRUZAMENTO:(96,11+16,94+9,07+6,89+3,55)/2 + (96,49+16,70+7,08+5,42+3,31)/2 *6,0m</t>
  </si>
  <si>
    <t>ÁREA DE APLICAÇÃO DO MATERIAL VEZES O PESO POR M² (CM30 + RR1C) VEZES A DISTÂNCIA DA REFINARIA ATÉ A OBRA-&gt; (893,15m²) x (0,0012t/m² + 0,0005t/m²) x (434km + 86km)</t>
  </si>
  <si>
    <t>SOMATÓRIO DE MEIO-FIO COM SARJETA+ AMARAÇÃO FINAL COM SARJETA: 15,70+96,45+16,70+7,08+5,42+3,31+3,55+6,89
+9,07+16,94+96,11+6,97</t>
  </si>
  <si>
    <t>1  BANHEIRO QUÍMICO POR TEMPO DE DURAÇÃO DA OBRA : 01 MÊSES</t>
  </si>
  <si>
    <t>LOCAÇÃO DE PONTO TOPOGRAFICO A CADA 20 METROS DE VIA (86,22m+130,78m)/20m</t>
  </si>
  <si>
    <t>RUA SEBASTIÃO B. M.</t>
  </si>
  <si>
    <t>RUA "1"</t>
  </si>
  <si>
    <t>OBRAS VIÁRIAS - RUA SEBASTIÃO B. M.</t>
  </si>
  <si>
    <t>DRENAGEM  -RUA SEBASTIÃO B. M.</t>
  </si>
  <si>
    <t>OBRAS VIÁRIAS - RUA "1"</t>
  </si>
  <si>
    <t>DRENAGEM  - RUA "1"</t>
  </si>
  <si>
    <t xml:space="preserve">LARGURA PISTA ROLAMENTO VEZES COMPRIMENTO MAIS  ACABAMENTO CURVA DE CRUZAMENTO :541,7m  X ((14,04m+16,13m+55,97m)/2 +(16,34m+55,63m+14,34m)/2)X6,5M
</t>
  </si>
  <si>
    <t>LARGURA PISTA ROLAMENTO VEZES COMPRIMENTO MAIS  ACABAMENTO CURVA DE CRUZAMENTO :541,7m  X ((14,04m+16,13m+55,97m)/2 +(16,34m+55,63m+14,34m)/2)X6,5m</t>
  </si>
  <si>
    <t>COMPRIMENTO VEZES LARGURA MEDIA DA PISTA  :   (96,11+16,94+9,07+6,89+3,55)/2 + (96,49+16,70+7,08+5,42+3,31)/2 *6,8m +108,85m²</t>
  </si>
  <si>
    <t>AREA DE REGULARIZAÇÃO VEZES ESPESSURA (PROFUNDIDADE) DE ESCAVAÇÃO                                              ((96,11+16,94+9,07+6,89+3,55)/2 + (96,49+16,70+7,08+5,42+3,31)/2 *6,0m + 108,85m²) X 0,15m</t>
  </si>
  <si>
    <t>LARGURA PISTA ROLAMENTO VEZES COMPRIMENTO MAIS  ACABAMENTO CURVA DE CRUZAMENTO  (96,11+16,94+9,07+6,89+3,55)/2 + (96,49+16,70+7,08+5,42+3,31)/2 *6,0m + 108,85m²</t>
  </si>
  <si>
    <t>ÁREA DE APLICAÇÃO DO MATERIAL VEZES ESPESSURA DA PAVIMENTAÇÃO -&gt; (893,53m² x 0,03m)</t>
  </si>
  <si>
    <t>DATA:15/09/2020</t>
  </si>
  <si>
    <t>PRAZO DE EXECUÇÃO: 02 MESES</t>
  </si>
  <si>
    <t>REGIÃO/MÊS DE REFERÊNCIA:  SETOP/NORTE 04/2020 (DESONERADO) - SINAPI 05/2020 (DESONERADO)</t>
  </si>
  <si>
    <t>PRAZO DA OBRA:02 MESES</t>
  </si>
  <si>
    <t>3.1.11</t>
  </si>
  <si>
    <t>2.1.11</t>
  </si>
  <si>
    <r>
      <t>TRANSPORTE DE AGREGADO DMT DE 0 A 10 KM (Mineradora até à Usina de PMF em Montes Claros - DMT =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2,80Km</t>
    </r>
    <r>
      <rPr>
        <sz val="10"/>
        <color indexed="8"/>
        <rFont val="Arial"/>
        <family val="2"/>
      </rPr>
      <t>) - Brita</t>
    </r>
  </si>
  <si>
    <t>2.1.12</t>
  </si>
  <si>
    <r>
      <t xml:space="preserve">TRANSPORTE DE AGREGADO DMT ACIMA DE 50 KM (Jazida em Coração de Jesus até a usina em Montes Claros DMT = </t>
    </r>
    <r>
      <rPr>
        <sz val="10"/>
        <rFont val="Arial"/>
        <family val="2"/>
      </rPr>
      <t>85,00Km</t>
    </r>
    <r>
      <rPr>
        <sz val="10"/>
        <color indexed="8"/>
        <rFont val="Arial"/>
        <family val="2"/>
      </rPr>
      <t>) - Areia</t>
    </r>
  </si>
  <si>
    <t>2.1.13</t>
  </si>
  <si>
    <r>
      <t xml:space="preserve">TRANSPORTE DE PMF/CBUQ PARA CONSERVAÇÃO DMT ACIMA DE 50 KM (Usina ao local da obra - DMT </t>
    </r>
    <r>
      <rPr>
        <sz val="10"/>
        <rFont val="Arial"/>
        <family val="2"/>
      </rPr>
      <t>86,00 km</t>
    </r>
    <r>
      <rPr>
        <sz val="10"/>
        <color indexed="8"/>
        <rFont val="Arial"/>
        <family val="2"/>
      </rPr>
      <t>)</t>
    </r>
  </si>
  <si>
    <t>VOLUME DO MATERIAL VEZES FATOR DA BRITA VEZES A DISTÂNCIA DA JAZIDA ATÉ A USINA -&gt; (560,43m² x 0,03m) x 1,26m³/m³ x (2,80km)</t>
  </si>
  <si>
    <t>VOLUME DO MATERIAL VEZES A DISTÂNCIA DA USINA ATÉ A OBRA -&gt;(560,43m² x 0,03m) x (86km)</t>
  </si>
  <si>
    <t>VOLUME DO MATERIAL VEZES FATOR DA AREIA VEZES A DISTÂNCIA DA JAZIDA ATÉ A USINA -&gt;(560,43m² x 0,03m) x 0,18m³/m³ x (85,00km)</t>
  </si>
  <si>
    <t>VOLUME DO MATERIAL VEZES FATOR DA BRITA VEZES A DISTÂNCIA DA JAZIDA ATÉ A USINA -&gt; (893,53m² x 0,03m) x 1,26m³/m³ x (2,80km)</t>
  </si>
  <si>
    <t>VOLUME DO MATERIAL VEZES FATOR DA AREIA VEZES A DISTÂNCIA DA JAZIDA ATÉ A USINA -&gt;(893,53m² x 0,03m) x 0,18m³/m³ x (85,00km)</t>
  </si>
  <si>
    <t>VOLUME DO MATERIAL VEZES A DISTÂNCIA DA USINA ATÉ A OBRA -&gt;(893,53m² x 0,03m) x (86km)</t>
  </si>
  <si>
    <t>OBR-VIA-345</t>
  </si>
  <si>
    <t>TRANSPORTE DE AGREGADO DMT DE 0 A 10 KM (Mineradora até à Usina de PMF em Montes Claros - DMT = 2,80Km) - Brita</t>
  </si>
  <si>
    <t>OBR-VIA-370</t>
  </si>
  <si>
    <t>TRANSPORTE DE AGREGADO DMT ACIMA DE 50 KM (Jazida em Coração de Jesus até a usina em Montes Claros DMT = 85,00Km) - Areia</t>
  </si>
  <si>
    <t>OBR-VIA-405</t>
  </si>
  <si>
    <t>TRANSPORTE DE PMF/CBUQ PARA CONSERVAÇÃO DMT ACIMA DE 50 KM (Usina ao local da obra - DMT 86,00Km)</t>
  </si>
  <si>
    <t>3.1.12</t>
  </si>
  <si>
    <t>3.1.13</t>
  </si>
  <si>
    <t>VALOR DO CONVÊNIO:R$ 104.842,98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</si>
</sst>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 &quot;#,##0.00"/>
    <numFmt numFmtId="166" formatCode="#,##0.00\ ;&quot; (&quot;#,##0.00\);&quot; -&quot;#\ ;@\ "/>
  </numFmts>
  <fonts count="2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4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24" fillId="0" borderId="0"/>
    <xf numFmtId="0" fontId="24" fillId="0" borderId="0"/>
    <xf numFmtId="0" fontId="23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1" fillId="0" borderId="0" applyFill="0" applyBorder="0" applyAlignment="0" applyProtection="0"/>
    <xf numFmtId="164" fontId="11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362">
    <xf numFmtId="0" fontId="0" fillId="0" borderId="0" xfId="0"/>
    <xf numFmtId="0" fontId="4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0" xfId="0" applyNumberFormat="1" applyFont="1"/>
    <xf numFmtId="0" fontId="7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0" fontId="6" fillId="0" borderId="4" xfId="8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165" fontId="9" fillId="0" borderId="0" xfId="0" applyNumberFormat="1" applyFont="1" applyFill="1" applyBorder="1" applyAlignment="1">
      <alignment horizontal="distributed" vertical="center" wrapText="1"/>
    </xf>
    <xf numFmtId="0" fontId="10" fillId="0" borderId="0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4" fontId="4" fillId="0" borderId="0" xfId="0" applyNumberFormat="1" applyFont="1" applyBorder="1"/>
    <xf numFmtId="0" fontId="0" fillId="0" borderId="0" xfId="0" applyFill="1"/>
    <xf numFmtId="0" fontId="11" fillId="0" borderId="0" xfId="0" applyFont="1" applyFill="1"/>
    <xf numFmtId="10" fontId="11" fillId="0" borderId="0" xfId="0" applyNumberFormat="1" applyFont="1" applyFill="1"/>
    <xf numFmtId="0" fontId="9" fillId="0" borderId="0" xfId="0" applyFont="1" applyFill="1"/>
    <xf numFmtId="0" fontId="10" fillId="0" borderId="7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9" fillId="0" borderId="0" xfId="0" applyFont="1"/>
    <xf numFmtId="0" fontId="0" fillId="2" borderId="0" xfId="0" applyFill="1"/>
    <xf numFmtId="0" fontId="0" fillId="2" borderId="0" xfId="0" applyFill="1" applyBorder="1" applyAlignment="1"/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top" wrapText="1"/>
    </xf>
    <xf numFmtId="10" fontId="15" fillId="2" borderId="12" xfId="0" applyNumberFormat="1" applyFont="1" applyFill="1" applyBorder="1" applyAlignment="1">
      <alignment vertical="top" wrapText="1"/>
    </xf>
    <xf numFmtId="10" fontId="16" fillId="2" borderId="12" xfId="10" applyNumberFormat="1" applyFont="1" applyFill="1" applyBorder="1" applyAlignment="1">
      <alignment vertical="top" wrapText="1"/>
    </xf>
    <xf numFmtId="10" fontId="16" fillId="2" borderId="12" xfId="0" applyNumberFormat="1" applyFont="1" applyFill="1" applyBorder="1" applyAlignment="1">
      <alignment vertical="top" wrapText="1"/>
    </xf>
    <xf numFmtId="10" fontId="16" fillId="2" borderId="13" xfId="0" applyNumberFormat="1" applyFont="1" applyFill="1" applyBorder="1" applyAlignment="1">
      <alignment vertical="top" wrapText="1"/>
    </xf>
    <xf numFmtId="49" fontId="15" fillId="2" borderId="14" xfId="0" applyNumberFormat="1" applyFont="1" applyFill="1" applyBorder="1" applyAlignment="1">
      <alignment horizontal="center" vertical="top" wrapText="1"/>
    </xf>
    <xf numFmtId="4" fontId="15" fillId="2" borderId="14" xfId="0" applyNumberFormat="1" applyFont="1" applyFill="1" applyBorder="1" applyAlignment="1">
      <alignment vertical="top" wrapText="1"/>
    </xf>
    <xf numFmtId="4" fontId="15" fillId="2" borderId="15" xfId="0" applyNumberFormat="1" applyFont="1" applyFill="1" applyBorder="1" applyAlignment="1">
      <alignment vertical="top" wrapText="1"/>
    </xf>
    <xf numFmtId="49" fontId="17" fillId="2" borderId="16" xfId="0" applyNumberFormat="1" applyFont="1" applyFill="1" applyBorder="1" applyAlignment="1">
      <alignment horizontal="center" vertical="top" wrapText="1"/>
    </xf>
    <xf numFmtId="10" fontId="17" fillId="2" borderId="16" xfId="0" applyNumberFormat="1" applyFont="1" applyFill="1" applyBorder="1" applyAlignment="1">
      <alignment vertical="top" wrapText="1"/>
    </xf>
    <xf numFmtId="10" fontId="17" fillId="2" borderId="17" xfId="0" applyNumberFormat="1" applyFont="1" applyFill="1" applyBorder="1" applyAlignment="1">
      <alignment vertical="top" wrapText="1"/>
    </xf>
    <xf numFmtId="49" fontId="17" fillId="2" borderId="18" xfId="0" applyNumberFormat="1" applyFont="1" applyFill="1" applyBorder="1" applyAlignment="1">
      <alignment horizontal="center" vertical="top" wrapText="1"/>
    </xf>
    <xf numFmtId="165" fontId="17" fillId="2" borderId="18" xfId="0" applyNumberFormat="1" applyFont="1" applyFill="1" applyBorder="1" applyAlignment="1">
      <alignment vertical="top" wrapText="1"/>
    </xf>
    <xf numFmtId="165" fontId="17" fillId="2" borderId="19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1" fillId="2" borderId="0" xfId="0" applyFont="1" applyFill="1"/>
    <xf numFmtId="0" fontId="0" fillId="0" borderId="24" xfId="0" applyBorder="1" applyAlignment="1">
      <alignment vertical="center"/>
    </xf>
    <xf numFmtId="0" fontId="3" fillId="2" borderId="0" xfId="0" applyFont="1" applyFill="1" applyBorder="1" applyAlignment="1">
      <alignment wrapText="1"/>
    </xf>
    <xf numFmtId="0" fontId="3" fillId="2" borderId="24" xfId="0" applyFont="1" applyFill="1" applyBorder="1" applyAlignment="1">
      <alignment wrapText="1"/>
    </xf>
    <xf numFmtId="0" fontId="0" fillId="0" borderId="25" xfId="0" applyBorder="1" applyAlignment="1">
      <alignment vertical="center"/>
    </xf>
    <xf numFmtId="0" fontId="3" fillId="2" borderId="26" xfId="0" applyFont="1" applyFill="1" applyBorder="1"/>
    <xf numFmtId="0" fontId="2" fillId="0" borderId="25" xfId="0" applyFont="1" applyBorder="1" applyAlignment="1">
      <alignment vertical="center"/>
    </xf>
    <xf numFmtId="0" fontId="0" fillId="2" borderId="26" xfId="0" applyFill="1" applyBorder="1"/>
    <xf numFmtId="0" fontId="11" fillId="2" borderId="0" xfId="0" applyFont="1" applyFill="1" applyBorder="1"/>
    <xf numFmtId="0" fontId="0" fillId="2" borderId="25" xfId="0" applyFill="1" applyBorder="1"/>
    <xf numFmtId="0" fontId="18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right"/>
    </xf>
    <xf numFmtId="0" fontId="16" fillId="2" borderId="0" xfId="0" applyFont="1" applyFill="1" applyBorder="1" applyAlignment="1">
      <alignment wrapText="1"/>
    </xf>
    <xf numFmtId="0" fontId="0" fillId="2" borderId="0" xfId="0" applyFill="1" applyAlignment="1">
      <alignment wrapText="1"/>
    </xf>
    <xf numFmtId="4" fontId="15" fillId="2" borderId="14" xfId="0" applyNumberFormat="1" applyFont="1" applyFill="1" applyBorder="1" applyAlignment="1">
      <alignment horizontal="right" vertical="top" wrapText="1"/>
    </xf>
    <xf numFmtId="10" fontId="17" fillId="2" borderId="16" xfId="0" applyNumberFormat="1" applyFont="1" applyFill="1" applyBorder="1" applyAlignment="1">
      <alignment horizontal="right" vertical="top" wrapText="1"/>
    </xf>
    <xf numFmtId="165" fontId="17" fillId="2" borderId="18" xfId="0" applyNumberFormat="1" applyFont="1" applyFill="1" applyBorder="1" applyAlignment="1">
      <alignment horizontal="right" vertical="top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1" fillId="0" borderId="8" xfId="1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9" fontId="11" fillId="0" borderId="28" xfId="0" applyNumberFormat="1" applyFont="1" applyFill="1" applyBorder="1" applyAlignment="1">
      <alignment horizontal="center"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4" fontId="11" fillId="0" borderId="31" xfId="0" applyNumberFormat="1" applyFont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4" fontId="11" fillId="0" borderId="31" xfId="0" applyNumberFormat="1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49" fontId="10" fillId="0" borderId="28" xfId="0" applyNumberFormat="1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left" vertical="center" wrapText="1"/>
    </xf>
    <xf numFmtId="2" fontId="9" fillId="0" borderId="28" xfId="10" applyNumberFormat="1" applyFont="1" applyFill="1" applyBorder="1" applyAlignment="1">
      <alignment horizontal="center" vertical="center" wrapText="1"/>
    </xf>
    <xf numFmtId="4" fontId="9" fillId="0" borderId="28" xfId="0" applyNumberFormat="1" applyFont="1" applyFill="1" applyBorder="1" applyAlignment="1">
      <alignment horizontal="center" vertical="center" wrapText="1"/>
    </xf>
    <xf numFmtId="165" fontId="9" fillId="0" borderId="29" xfId="0" applyNumberFormat="1" applyFont="1" applyFill="1" applyBorder="1" applyAlignment="1">
      <alignment horizontal="distributed" vertical="center" wrapText="1"/>
    </xf>
    <xf numFmtId="0" fontId="9" fillId="0" borderId="32" xfId="0" applyFont="1" applyFill="1" applyBorder="1" applyAlignment="1">
      <alignment horizontal="center" vertical="center" wrapText="1"/>
    </xf>
    <xf numFmtId="49" fontId="11" fillId="0" borderId="33" xfId="0" applyNumberFormat="1" applyFont="1" applyFill="1" applyBorder="1" applyAlignment="1">
      <alignment horizontal="center" vertical="center" wrapText="1"/>
    </xf>
    <xf numFmtId="4" fontId="11" fillId="0" borderId="34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left" vertical="center" wrapText="1"/>
    </xf>
    <xf numFmtId="2" fontId="11" fillId="0" borderId="28" xfId="1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0" fontId="11" fillId="0" borderId="8" xfId="0" applyFont="1" applyBorder="1"/>
    <xf numFmtId="0" fontId="11" fillId="0" borderId="33" xfId="0" applyFont="1" applyFill="1" applyBorder="1" applyAlignment="1">
      <alignment horizontal="center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165" fontId="11" fillId="0" borderId="31" xfId="0" applyNumberFormat="1" applyFont="1" applyFill="1" applyBorder="1" applyAlignment="1">
      <alignment horizontal="distributed" vertical="center" wrapText="1"/>
    </xf>
    <xf numFmtId="0" fontId="9" fillId="0" borderId="3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center" vertical="center" wrapText="1"/>
    </xf>
    <xf numFmtId="4" fontId="15" fillId="2" borderId="36" xfId="0" applyNumberFormat="1" applyFont="1" applyFill="1" applyBorder="1" applyAlignment="1">
      <alignment horizontal="right" vertical="top" wrapText="1"/>
    </xf>
    <xf numFmtId="10" fontId="14" fillId="2" borderId="12" xfId="0" applyNumberFormat="1" applyFont="1" applyFill="1" applyBorder="1" applyAlignment="1">
      <alignment vertical="top" wrapText="1"/>
    </xf>
    <xf numFmtId="10" fontId="0" fillId="2" borderId="0" xfId="0" applyNumberFormat="1" applyFill="1"/>
    <xf numFmtId="0" fontId="18" fillId="0" borderId="37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5" fillId="0" borderId="0" xfId="0" applyFont="1"/>
    <xf numFmtId="0" fontId="0" fillId="0" borderId="20" xfId="0" applyFill="1" applyBorder="1"/>
    <xf numFmtId="0" fontId="20" fillId="0" borderId="21" xfId="0" applyFont="1" applyFill="1" applyBorder="1" applyAlignment="1">
      <alignment horizontal="center" vertical="center"/>
    </xf>
    <xf numFmtId="4" fontId="20" fillId="0" borderId="22" xfId="0" applyNumberFormat="1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0" fillId="0" borderId="0" xfId="0" applyFill="1" applyBorder="1"/>
    <xf numFmtId="4" fontId="0" fillId="0" borderId="27" xfId="0" applyNumberFormat="1" applyFill="1" applyBorder="1" applyAlignment="1">
      <alignment horizontal="center"/>
    </xf>
    <xf numFmtId="4" fontId="10" fillId="0" borderId="27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49" fontId="15" fillId="0" borderId="4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2" fontId="9" fillId="0" borderId="5" xfId="10" applyNumberFormat="1" applyFont="1" applyFill="1" applyBorder="1" applyAlignment="1">
      <alignment horizontal="center" vertical="center" wrapText="1"/>
    </xf>
    <xf numFmtId="4" fontId="9" fillId="0" borderId="43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9" fontId="15" fillId="0" borderId="4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49" fontId="17" fillId="0" borderId="44" xfId="0" applyNumberFormat="1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4" fontId="3" fillId="0" borderId="0" xfId="0" applyNumberFormat="1" applyFont="1" applyFill="1"/>
    <xf numFmtId="0" fontId="9" fillId="0" borderId="46" xfId="0" applyFont="1" applyFill="1" applyBorder="1" applyAlignment="1">
      <alignment horizontal="center" vertical="center" wrapText="1"/>
    </xf>
    <xf numFmtId="4" fontId="9" fillId="0" borderId="47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/>
    <xf numFmtId="4" fontId="0" fillId="0" borderId="0" xfId="0" applyNumberFormat="1" applyFill="1"/>
    <xf numFmtId="4" fontId="3" fillId="0" borderId="0" xfId="0" applyNumberFormat="1" applyFont="1" applyFill="1" applyBorder="1"/>
    <xf numFmtId="0" fontId="3" fillId="0" borderId="0" xfId="0" applyFont="1" applyFill="1" applyBorder="1"/>
    <xf numFmtId="2" fontId="9" fillId="0" borderId="48" xfId="10" applyNumberFormat="1" applyFont="1" applyFill="1" applyBorder="1" applyAlignment="1">
      <alignment horizontal="center" vertical="center" wrapText="1"/>
    </xf>
    <xf numFmtId="4" fontId="9" fillId="0" borderId="49" xfId="0" applyNumberFormat="1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 wrapText="1"/>
    </xf>
    <xf numFmtId="2" fontId="9" fillId="0" borderId="5" xfId="12" applyNumberFormat="1" applyFont="1" applyFill="1" applyBorder="1" applyAlignment="1">
      <alignment horizontal="center" vertical="center" wrapText="1"/>
    </xf>
    <xf numFmtId="2" fontId="9" fillId="0" borderId="48" xfId="12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4" fontId="9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Alignment="1">
      <alignment horizontal="center"/>
    </xf>
    <xf numFmtId="0" fontId="11" fillId="0" borderId="0" xfId="2"/>
    <xf numFmtId="1" fontId="3" fillId="0" borderId="51" xfId="7" applyNumberFormat="1" applyFont="1" applyBorder="1" applyAlignment="1">
      <alignment horizontal="center" vertical="center"/>
    </xf>
    <xf numFmtId="0" fontId="10" fillId="0" borderId="0" xfId="2" applyFont="1"/>
    <xf numFmtId="1" fontId="11" fillId="0" borderId="52" xfId="2" applyNumberFormat="1" applyFont="1" applyFill="1" applyBorder="1" applyAlignment="1">
      <alignment horizontal="center" vertical="center"/>
    </xf>
    <xf numFmtId="2" fontId="3" fillId="0" borderId="5" xfId="2" applyNumberFormat="1" applyFont="1" applyBorder="1" applyAlignment="1">
      <alignment horizontal="center"/>
    </xf>
    <xf numFmtId="2" fontId="11" fillId="0" borderId="5" xfId="2" applyNumberFormat="1" applyFont="1" applyBorder="1" applyAlignment="1">
      <alignment horizontal="center"/>
    </xf>
    <xf numFmtId="0" fontId="11" fillId="0" borderId="5" xfId="2" applyFont="1" applyBorder="1" applyAlignment="1">
      <alignment horizontal="center"/>
    </xf>
    <xf numFmtId="0" fontId="11" fillId="0" borderId="52" xfId="2" applyFont="1" applyFill="1" applyBorder="1" applyAlignment="1">
      <alignment vertical="center"/>
    </xf>
    <xf numFmtId="0" fontId="3" fillId="0" borderId="52" xfId="2" applyFont="1" applyFill="1" applyBorder="1" applyAlignment="1">
      <alignment horizontal="centerContinuous" vertical="center"/>
    </xf>
    <xf numFmtId="0" fontId="25" fillId="0" borderId="53" xfId="2" applyFont="1" applyBorder="1"/>
    <xf numFmtId="0" fontId="22" fillId="0" borderId="0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11" fillId="0" borderId="0" xfId="2" applyFont="1"/>
    <xf numFmtId="0" fontId="9" fillId="0" borderId="0" xfId="2" applyFont="1" applyFill="1" applyBorder="1" applyAlignment="1"/>
    <xf numFmtId="0" fontId="17" fillId="0" borderId="0" xfId="2" applyFont="1" applyFill="1" applyBorder="1" applyAlignment="1">
      <alignment vertical="center"/>
    </xf>
    <xf numFmtId="0" fontId="15" fillId="0" borderId="0" xfId="2" applyFont="1" applyFill="1" applyBorder="1" applyAlignment="1">
      <alignment vertical="center"/>
    </xf>
    <xf numFmtId="0" fontId="9" fillId="0" borderId="0" xfId="2" applyFont="1" applyFill="1" applyBorder="1" applyAlignment="1">
      <alignment vertical="center"/>
    </xf>
    <xf numFmtId="0" fontId="1" fillId="0" borderId="8" xfId="0" applyFont="1" applyFill="1" applyBorder="1" applyAlignment="1">
      <alignment horizontal="left" vertical="center" wrapText="1"/>
    </xf>
    <xf numFmtId="0" fontId="4" fillId="0" borderId="45" xfId="0" applyFont="1" applyFill="1" applyBorder="1" applyAlignment="1">
      <alignment horizontal="left" vertical="center" wrapText="1"/>
    </xf>
    <xf numFmtId="2" fontId="4" fillId="0" borderId="5" xfId="1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4" fillId="0" borderId="0" xfId="0" applyNumberFormat="1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0" fillId="2" borderId="26" xfId="0" applyFill="1" applyBorder="1" applyAlignment="1"/>
    <xf numFmtId="0" fontId="0" fillId="2" borderId="25" xfId="0" applyFill="1" applyBorder="1" applyAlignment="1"/>
    <xf numFmtId="0" fontId="3" fillId="2" borderId="57" xfId="0" applyFont="1" applyFill="1" applyBorder="1" applyAlignment="1">
      <alignment wrapText="1"/>
    </xf>
    <xf numFmtId="0" fontId="3" fillId="2" borderId="55" xfId="0" applyFont="1" applyFill="1" applyBorder="1" applyAlignment="1">
      <alignment wrapText="1"/>
    </xf>
    <xf numFmtId="0" fontId="3" fillId="2" borderId="56" xfId="0" applyFont="1" applyFill="1" applyBorder="1" applyAlignment="1">
      <alignment wrapText="1"/>
    </xf>
    <xf numFmtId="0" fontId="0" fillId="2" borderId="57" xfId="0" applyFill="1" applyBorder="1"/>
    <xf numFmtId="0" fontId="0" fillId="2" borderId="55" xfId="0" applyFill="1" applyBorder="1"/>
    <xf numFmtId="0" fontId="0" fillId="2" borderId="56" xfId="0" applyFill="1" applyBorder="1"/>
    <xf numFmtId="0" fontId="3" fillId="2" borderId="26" xfId="0" applyFont="1" applyFill="1" applyBorder="1" applyAlignment="1">
      <alignment wrapText="1"/>
    </xf>
    <xf numFmtId="0" fontId="16" fillId="2" borderId="25" xfId="0" applyFont="1" applyFill="1" applyBorder="1"/>
    <xf numFmtId="0" fontId="11" fillId="2" borderId="26" xfId="0" applyFont="1" applyFill="1" applyBorder="1"/>
    <xf numFmtId="0" fontId="18" fillId="2" borderId="26" xfId="0" applyFont="1" applyFill="1" applyBorder="1"/>
    <xf numFmtId="0" fontId="16" fillId="2" borderId="26" xfId="0" applyFont="1" applyFill="1" applyBorder="1"/>
    <xf numFmtId="0" fontId="0" fillId="2" borderId="75" xfId="0" applyFill="1" applyBorder="1"/>
    <xf numFmtId="0" fontId="0" fillId="2" borderId="24" xfId="0" applyFill="1" applyBorder="1"/>
    <xf numFmtId="0" fontId="0" fillId="2" borderId="24" xfId="0" applyFill="1" applyBorder="1" applyAlignment="1">
      <alignment wrapText="1"/>
    </xf>
    <xf numFmtId="0" fontId="0" fillId="2" borderId="74" xfId="0" applyFill="1" applyBorder="1"/>
    <xf numFmtId="2" fontId="1" fillId="0" borderId="8" xfId="10" applyNumberFormat="1" applyFont="1" applyFill="1" applyBorder="1" applyAlignment="1">
      <alignment horizontal="center" vertical="center" wrapText="1"/>
    </xf>
    <xf numFmtId="0" fontId="0" fillId="0" borderId="23" xfId="0" applyFill="1" applyBorder="1"/>
    <xf numFmtId="49" fontId="10" fillId="0" borderId="50" xfId="0" applyNumberFormat="1" applyFont="1" applyFill="1" applyBorder="1" applyAlignment="1">
      <alignment horizontal="center" vertical="center" wrapText="1"/>
    </xf>
    <xf numFmtId="0" fontId="10" fillId="0" borderId="48" xfId="0" applyFont="1" applyFill="1" applyBorder="1" applyAlignment="1">
      <alignment horizontal="left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/>
    <xf numFmtId="0" fontId="11" fillId="0" borderId="5" xfId="0" applyFont="1" applyFill="1" applyBorder="1"/>
    <xf numFmtId="0" fontId="4" fillId="0" borderId="0" xfId="0" applyFont="1" applyFill="1"/>
    <xf numFmtId="0" fontId="15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2" fontId="4" fillId="0" borderId="8" xfId="1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31" xfId="0" applyNumberFormat="1" applyFont="1" applyFill="1" applyBorder="1" applyAlignment="1">
      <alignment horizontal="distributed" vertical="center" wrapText="1"/>
    </xf>
    <xf numFmtId="4" fontId="4" fillId="0" borderId="43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righ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6" fillId="0" borderId="59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62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 wrapText="1"/>
    </xf>
    <xf numFmtId="0" fontId="4" fillId="0" borderId="4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6" fillId="0" borderId="56" xfId="0" applyFont="1" applyFill="1" applyBorder="1" applyAlignment="1">
      <alignment horizontal="left" vertical="center"/>
    </xf>
    <xf numFmtId="0" fontId="6" fillId="0" borderId="54" xfId="0" applyFont="1" applyFill="1" applyBorder="1" applyAlignment="1">
      <alignment horizontal="left" vertical="center"/>
    </xf>
    <xf numFmtId="0" fontId="6" fillId="0" borderId="57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9" xfId="0" applyFont="1" applyFill="1" applyBorder="1" applyAlignment="1">
      <alignment horizontal="left" vertical="center"/>
    </xf>
    <xf numFmtId="0" fontId="6" fillId="0" borderId="43" xfId="0" applyFont="1" applyFill="1" applyBorder="1" applyAlignment="1">
      <alignment horizontal="left" vertical="center"/>
    </xf>
    <xf numFmtId="0" fontId="10" fillId="0" borderId="41" xfId="0" applyFont="1" applyFill="1" applyBorder="1" applyAlignment="1">
      <alignment horizontal="left" vertical="top"/>
    </xf>
    <xf numFmtId="0" fontId="6" fillId="0" borderId="60" xfId="0" applyFont="1" applyFill="1" applyBorder="1" applyAlignment="1">
      <alignment horizontal="left" vertical="top"/>
    </xf>
    <xf numFmtId="0" fontId="6" fillId="0" borderId="61" xfId="0" applyFont="1" applyFill="1" applyBorder="1" applyAlignment="1">
      <alignment horizontal="left" vertical="top"/>
    </xf>
    <xf numFmtId="0" fontId="6" fillId="0" borderId="42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0" fontId="6" fillId="0" borderId="45" xfId="0" applyFont="1" applyFill="1" applyBorder="1" applyAlignment="1">
      <alignment horizontal="left" vertical="top"/>
    </xf>
    <xf numFmtId="0" fontId="6" fillId="0" borderId="42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45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 vertical="center" wrapText="1"/>
    </xf>
    <xf numFmtId="0" fontId="6" fillId="0" borderId="40" xfId="0" applyFont="1" applyFill="1" applyBorder="1" applyAlignment="1">
      <alignment horizontal="left" vertical="center" wrapText="1"/>
    </xf>
    <xf numFmtId="0" fontId="6" fillId="0" borderId="54" xfId="0" applyFont="1" applyFill="1" applyBorder="1" applyAlignment="1">
      <alignment horizontal="left" vertical="center" wrapText="1"/>
    </xf>
    <xf numFmtId="0" fontId="6" fillId="0" borderId="42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4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4" fillId="3" borderId="59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9" fillId="0" borderId="7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71" xfId="0" applyFont="1" applyFill="1" applyBorder="1" applyAlignment="1">
      <alignment horizontal="center" vertical="center"/>
    </xf>
    <xf numFmtId="0" fontId="20" fillId="0" borderId="58" xfId="0" applyFont="1" applyFill="1" applyBorder="1" applyAlignment="1">
      <alignment horizontal="center" vertical="center"/>
    </xf>
    <xf numFmtId="0" fontId="20" fillId="0" borderId="40" xfId="0" applyFont="1" applyFill="1" applyBorder="1" applyAlignment="1">
      <alignment horizontal="center" vertical="center"/>
    </xf>
    <xf numFmtId="0" fontId="20" fillId="0" borderId="54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27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3" fillId="2" borderId="6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3" fillId="2" borderId="48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74" xfId="0" applyFont="1" applyFill="1" applyBorder="1" applyAlignment="1">
      <alignment horizontal="left" vertical="center"/>
    </xf>
    <xf numFmtId="0" fontId="3" fillId="2" borderId="48" xfId="0" applyFont="1" applyFill="1" applyBorder="1" applyAlignment="1">
      <alignment horizontal="left" vertical="center"/>
    </xf>
    <xf numFmtId="0" fontId="3" fillId="2" borderId="49" xfId="0" applyFont="1" applyFill="1" applyBorder="1" applyAlignment="1">
      <alignment horizontal="left" vertical="center"/>
    </xf>
    <xf numFmtId="0" fontId="18" fillId="0" borderId="68" xfId="0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center" vertical="center" wrapText="1"/>
    </xf>
    <xf numFmtId="0" fontId="3" fillId="2" borderId="63" xfId="0" applyFont="1" applyFill="1" applyBorder="1" applyAlignment="1">
      <alignment horizontal="left" vertical="center"/>
    </xf>
    <xf numFmtId="0" fontId="3" fillId="2" borderId="64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/>
    </xf>
    <xf numFmtId="0" fontId="12" fillId="0" borderId="57" xfId="0" applyFont="1" applyFill="1" applyBorder="1" applyAlignment="1">
      <alignment horizontal="center" vertical="center" wrapText="1"/>
    </xf>
    <xf numFmtId="0" fontId="12" fillId="0" borderId="55" xfId="0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horizontal="center" vertical="center" wrapText="1"/>
    </xf>
    <xf numFmtId="0" fontId="3" fillId="2" borderId="69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top" wrapText="1"/>
    </xf>
    <xf numFmtId="49" fontId="18" fillId="0" borderId="66" xfId="0" applyNumberFormat="1" applyFont="1" applyBorder="1" applyAlignment="1">
      <alignment horizontal="center" vertical="center" wrapText="1"/>
    </xf>
    <xf numFmtId="0" fontId="18" fillId="0" borderId="67" xfId="0" applyFont="1" applyBorder="1" applyAlignment="1">
      <alignment horizontal="left" vertical="center" wrapText="1"/>
    </xf>
    <xf numFmtId="0" fontId="15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3" fillId="0" borderId="43" xfId="2" applyFont="1" applyBorder="1" applyAlignment="1">
      <alignment horizontal="left" vertical="center"/>
    </xf>
    <xf numFmtId="0" fontId="3" fillId="0" borderId="59" xfId="2" applyFont="1" applyBorder="1" applyAlignment="1">
      <alignment horizontal="center" vertical="top"/>
    </xf>
    <xf numFmtId="0" fontId="3" fillId="0" borderId="7" xfId="2" applyFont="1" applyBorder="1" applyAlignment="1">
      <alignment horizontal="center" vertical="top"/>
    </xf>
    <xf numFmtId="0" fontId="3" fillId="0" borderId="45" xfId="2" applyFont="1" applyBorder="1" applyAlignment="1">
      <alignment horizontal="center" vertical="top"/>
    </xf>
    <xf numFmtId="0" fontId="9" fillId="0" borderId="0" xfId="2" applyFont="1" applyFill="1" applyBorder="1" applyAlignment="1">
      <alignment horizontal="center"/>
    </xf>
    <xf numFmtId="0" fontId="17" fillId="0" borderId="0" xfId="2" applyFont="1" applyFill="1" applyBorder="1" applyAlignment="1">
      <alignment horizontal="center" vertical="center"/>
    </xf>
    <xf numFmtId="0" fontId="11" fillId="0" borderId="45" xfId="2" applyFont="1" applyBorder="1" applyAlignment="1">
      <alignment horizontal="center"/>
    </xf>
    <xf numFmtId="0" fontId="11" fillId="0" borderId="5" xfId="2" applyFont="1" applyBorder="1" applyAlignment="1">
      <alignment horizontal="center"/>
    </xf>
    <xf numFmtId="10" fontId="11" fillId="0" borderId="5" xfId="9" applyNumberFormat="1" applyFont="1" applyBorder="1" applyAlignment="1">
      <alignment horizontal="center"/>
    </xf>
    <xf numFmtId="10" fontId="11" fillId="0" borderId="43" xfId="9" applyNumberFormat="1" applyFont="1" applyBorder="1" applyAlignment="1">
      <alignment horizontal="center"/>
    </xf>
    <xf numFmtId="0" fontId="3" fillId="0" borderId="42" xfId="2" applyFont="1" applyBorder="1" applyAlignment="1">
      <alignment horizontal="center"/>
    </xf>
    <xf numFmtId="0" fontId="3" fillId="0" borderId="45" xfId="2" applyFont="1" applyBorder="1" applyAlignment="1">
      <alignment horizontal="center"/>
    </xf>
    <xf numFmtId="2" fontId="3" fillId="0" borderId="59" xfId="2" applyNumberFormat="1" applyFont="1" applyBorder="1" applyAlignment="1">
      <alignment horizontal="center"/>
    </xf>
    <xf numFmtId="2" fontId="3" fillId="0" borderId="2" xfId="2" applyNumberFormat="1" applyFont="1" applyBorder="1" applyAlignment="1">
      <alignment horizontal="center"/>
    </xf>
    <xf numFmtId="0" fontId="11" fillId="0" borderId="42" xfId="2" applyFont="1" applyBorder="1" applyAlignment="1">
      <alignment horizontal="center"/>
    </xf>
    <xf numFmtId="10" fontId="11" fillId="0" borderId="59" xfId="9" applyNumberFormat="1" applyFont="1" applyBorder="1" applyAlignment="1">
      <alignment horizontal="center"/>
    </xf>
    <xf numFmtId="10" fontId="11" fillId="0" borderId="2" xfId="9" applyNumberFormat="1" applyFont="1" applyBorder="1" applyAlignment="1">
      <alignment horizontal="center"/>
    </xf>
    <xf numFmtId="0" fontId="11" fillId="0" borderId="45" xfId="2" applyFont="1" applyBorder="1" applyAlignment="1">
      <alignment horizontal="right"/>
    </xf>
    <xf numFmtId="0" fontId="11" fillId="0" borderId="5" xfId="2" applyFont="1" applyBorder="1" applyAlignment="1">
      <alignment horizontal="right"/>
    </xf>
    <xf numFmtId="0" fontId="3" fillId="0" borderId="64" xfId="2" applyFont="1" applyBorder="1" applyAlignment="1">
      <alignment horizontal="center" vertical="center"/>
    </xf>
    <xf numFmtId="0" fontId="3" fillId="0" borderId="72" xfId="2" applyFont="1" applyBorder="1" applyAlignment="1">
      <alignment horizontal="center" vertical="center"/>
    </xf>
    <xf numFmtId="10" fontId="3" fillId="0" borderId="72" xfId="9" applyNumberFormat="1" applyFont="1" applyBorder="1" applyAlignment="1">
      <alignment horizontal="center" vertical="center"/>
    </xf>
    <xf numFmtId="10" fontId="3" fillId="0" borderId="73" xfId="9" applyNumberFormat="1" applyFont="1" applyBorder="1" applyAlignment="1">
      <alignment horizontal="center" vertical="center"/>
    </xf>
    <xf numFmtId="10" fontId="11" fillId="0" borderId="5" xfId="2" applyNumberFormat="1" applyFont="1" applyBorder="1" applyAlignment="1">
      <alignment horizontal="center"/>
    </xf>
    <xf numFmtId="10" fontId="11" fillId="0" borderId="43" xfId="2" applyNumberFormat="1" applyFont="1" applyBorder="1" applyAlignment="1">
      <alignment horizontal="center"/>
    </xf>
    <xf numFmtId="0" fontId="3" fillId="0" borderId="45" xfId="2" applyFont="1" applyBorder="1" applyAlignment="1">
      <alignment horizontal="center" vertical="center"/>
    </xf>
    <xf numFmtId="0" fontId="3" fillId="0" borderId="59" xfId="2" applyFont="1" applyBorder="1" applyAlignment="1">
      <alignment horizontal="center"/>
    </xf>
    <xf numFmtId="0" fontId="3" fillId="0" borderId="7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2" fontId="3" fillId="0" borderId="5" xfId="2" applyNumberFormat="1" applyFont="1" applyBorder="1" applyAlignment="1">
      <alignment horizontal="center"/>
    </xf>
    <xf numFmtId="2" fontId="3" fillId="0" borderId="43" xfId="2" applyNumberFormat="1" applyFont="1" applyBorder="1" applyAlignment="1">
      <alignment horizontal="center"/>
    </xf>
    <xf numFmtId="1" fontId="13" fillId="0" borderId="70" xfId="7" applyNumberFormat="1" applyFont="1" applyFill="1" applyBorder="1" applyAlignment="1">
      <alignment horizontal="center" vertical="center" wrapText="1"/>
    </xf>
    <xf numFmtId="1" fontId="13" fillId="0" borderId="1" xfId="7" applyNumberFormat="1" applyFont="1" applyFill="1" applyBorder="1" applyAlignment="1">
      <alignment horizontal="center" vertical="center" wrapText="1"/>
    </xf>
    <xf numFmtId="1" fontId="13" fillId="0" borderId="71" xfId="7" applyNumberFormat="1" applyFont="1" applyFill="1" applyBorder="1" applyAlignment="1">
      <alignment horizontal="center" vertical="center" wrapText="1"/>
    </xf>
    <xf numFmtId="1" fontId="3" fillId="0" borderId="70" xfId="7" applyNumberFormat="1" applyFont="1" applyBorder="1" applyAlignment="1">
      <alignment horizontal="center" vertical="center" wrapText="1"/>
    </xf>
    <xf numFmtId="1" fontId="3" fillId="0" borderId="1" xfId="7" applyNumberFormat="1" applyFont="1" applyBorder="1" applyAlignment="1">
      <alignment horizontal="center" vertical="center" wrapText="1"/>
    </xf>
    <xf numFmtId="1" fontId="3" fillId="0" borderId="71" xfId="7" applyNumberFormat="1" applyFont="1" applyBorder="1" applyAlignment="1">
      <alignment horizontal="center" vertical="center" wrapText="1"/>
    </xf>
    <xf numFmtId="1" fontId="3" fillId="0" borderId="21" xfId="7" applyNumberFormat="1" applyFont="1" applyBorder="1" applyAlignment="1">
      <alignment horizontal="center" vertical="center"/>
    </xf>
    <xf numFmtId="1" fontId="3" fillId="0" borderId="22" xfId="7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center"/>
    </xf>
    <xf numFmtId="0" fontId="3" fillId="0" borderId="42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</cellXfs>
  <cellStyles count="14">
    <cellStyle name="Moeda 2" xfId="1"/>
    <cellStyle name="Normal" xfId="0" builtinId="0"/>
    <cellStyle name="Normal 2" xfId="2"/>
    <cellStyle name="Normal 2 2" xfId="3"/>
    <cellStyle name="Normal 3" xfId="4"/>
    <cellStyle name="Normal 4" xfId="5"/>
    <cellStyle name="Normal 4 2" xfId="6"/>
    <cellStyle name="Normal_ESPINOSA-SES-ORCAMENTO-CRONOGRAMA-ABC-2012-11-06" xfId="7"/>
    <cellStyle name="Porcentagem" xfId="8" builtinId="5"/>
    <cellStyle name="Porcentagem 2" xfId="9"/>
    <cellStyle name="Separador de milhares" xfId="10" builtinId="3"/>
    <cellStyle name="Vírgula 2" xfId="11"/>
    <cellStyle name="Vírgula 3" xfId="12"/>
    <cellStyle name="Vírgula 4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66675</xdr:rowOff>
    </xdr:from>
    <xdr:to>
      <xdr:col>4</xdr:col>
      <xdr:colOff>19050</xdr:colOff>
      <xdr:row>0</xdr:row>
      <xdr:rowOff>704850</xdr:rowOff>
    </xdr:to>
    <xdr:sp macro="" textlink="">
      <xdr:nvSpPr>
        <xdr:cNvPr id="1028" name="Text Box 6"/>
        <xdr:cNvSpPr txBox="1">
          <a:spLocks noChangeArrowheads="1"/>
        </xdr:cNvSpPr>
      </xdr:nvSpPr>
      <xdr:spPr bwMode="auto">
        <a:xfrm>
          <a:off x="1190625" y="66675"/>
          <a:ext cx="37147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47625</xdr:colOff>
      <xdr:row>69</xdr:row>
      <xdr:rowOff>114300</xdr:rowOff>
    </xdr:from>
    <xdr:to>
      <xdr:col>8</xdr:col>
      <xdr:colOff>0</xdr:colOff>
      <xdr:row>70</xdr:row>
      <xdr:rowOff>161925</xdr:rowOff>
    </xdr:to>
    <xdr:sp macro="" textlink="">
      <xdr:nvSpPr>
        <xdr:cNvPr id="1029" name="Text Box 7"/>
        <xdr:cNvSpPr txBox="1">
          <a:spLocks noChangeArrowheads="1"/>
        </xdr:cNvSpPr>
      </xdr:nvSpPr>
      <xdr:spPr bwMode="auto">
        <a:xfrm>
          <a:off x="47625" y="66655950"/>
          <a:ext cx="81153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2086535</xdr:colOff>
      <xdr:row>0</xdr:row>
      <xdr:rowOff>402852</xdr:rowOff>
    </xdr:from>
    <xdr:to>
      <xdr:col>7</xdr:col>
      <xdr:colOff>334112</xdr:colOff>
      <xdr:row>5</xdr:row>
      <xdr:rowOff>112060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3588123" y="402852"/>
          <a:ext cx="6495107" cy="13788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pt-BR" sz="14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PREFEITURA MUNICIPAL DE CORAÇÃO DE JESUS</a:t>
          </a:r>
        </a:p>
        <a:p>
          <a:pPr algn="ctr" rtl="0">
            <a:defRPr sz="1000"/>
          </a:pPr>
          <a:endParaRPr lang="pt-BR" sz="14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14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ESTADO DE MINAS GERAIS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"/>
  <sheetViews>
    <sheetView showGridLines="0" showZeros="0" tabSelected="1" view="pageBreakPreview" zoomScaleSheetLayoutView="100" workbookViewId="0">
      <selection activeCell="E49" sqref="E49"/>
    </sheetView>
  </sheetViews>
  <sheetFormatPr defaultRowHeight="12.75"/>
  <cols>
    <col min="1" max="1" width="5.42578125" style="1" bestFit="1" customWidth="1"/>
    <col min="2" max="2" width="10.7109375" style="1" bestFit="1" customWidth="1"/>
    <col min="3" max="3" width="48" style="1" customWidth="1"/>
    <col min="4" max="4" width="9.140625" style="1"/>
    <col min="5" max="7" width="12.28515625" style="1" customWidth="1"/>
    <col min="8" max="8" width="15" style="1" customWidth="1"/>
    <col min="9" max="9" width="13.85546875" style="1" customWidth="1"/>
    <col min="10" max="16384" width="9.140625" style="1"/>
  </cols>
  <sheetData>
    <row r="1" spans="1:10" s="20" customFormat="1" ht="99" customHeight="1">
      <c r="A1" s="227" t="s">
        <v>71</v>
      </c>
      <c r="B1" s="228"/>
      <c r="C1" s="228"/>
      <c r="D1" s="228"/>
      <c r="E1" s="228"/>
      <c r="F1" s="228"/>
      <c r="G1" s="228"/>
      <c r="H1" s="228"/>
    </row>
    <row r="2" spans="1:10" ht="15.75">
      <c r="A2" s="229"/>
      <c r="B2" s="229"/>
      <c r="C2" s="229"/>
      <c r="D2" s="229"/>
      <c r="E2" s="229"/>
      <c r="F2" s="229"/>
      <c r="G2" s="229"/>
      <c r="H2" s="229"/>
    </row>
    <row r="3" spans="1:10" ht="3.75" customHeight="1" thickBot="1">
      <c r="A3" s="244"/>
      <c r="B3" s="244"/>
      <c r="C3" s="244"/>
      <c r="D3" s="244"/>
      <c r="E3" s="244"/>
      <c r="F3" s="244"/>
      <c r="G3" s="244"/>
      <c r="H3" s="244"/>
    </row>
    <row r="4" spans="1:10" ht="20.100000000000001" customHeight="1" thickBot="1">
      <c r="A4" s="233" t="s">
        <v>4</v>
      </c>
      <c r="B4" s="234"/>
      <c r="C4" s="234"/>
      <c r="D4" s="234"/>
      <c r="E4" s="234"/>
      <c r="F4" s="234"/>
      <c r="G4" s="234"/>
      <c r="H4" s="235"/>
    </row>
    <row r="5" spans="1:10" ht="3.75" customHeight="1" thickBot="1">
      <c r="A5" s="2"/>
      <c r="B5" s="2"/>
      <c r="C5" s="2"/>
      <c r="D5" s="2"/>
      <c r="E5" s="2"/>
      <c r="F5" s="2"/>
      <c r="G5" s="2"/>
      <c r="H5" s="2"/>
    </row>
    <row r="6" spans="1:10" ht="20.100000000000001" customHeight="1">
      <c r="A6" s="253" t="s">
        <v>32</v>
      </c>
      <c r="B6" s="254"/>
      <c r="C6" s="254"/>
      <c r="D6" s="254"/>
      <c r="E6" s="255"/>
      <c r="F6" s="236" t="s">
        <v>31</v>
      </c>
      <c r="G6" s="237"/>
      <c r="H6" s="238"/>
    </row>
    <row r="7" spans="1:10" ht="20.100000000000001" customHeight="1">
      <c r="A7" s="256" t="s">
        <v>100</v>
      </c>
      <c r="B7" s="257"/>
      <c r="C7" s="257"/>
      <c r="D7" s="257"/>
      <c r="E7" s="258"/>
      <c r="F7" s="250" t="s">
        <v>224</v>
      </c>
      <c r="G7" s="251"/>
      <c r="H7" s="252"/>
    </row>
    <row r="8" spans="1:10" ht="20.100000000000001" customHeight="1">
      <c r="A8" s="259" t="s">
        <v>67</v>
      </c>
      <c r="B8" s="260"/>
      <c r="C8" s="260"/>
      <c r="D8" s="261"/>
      <c r="E8" s="230" t="s">
        <v>11</v>
      </c>
      <c r="F8" s="231"/>
      <c r="G8" s="231"/>
      <c r="H8" s="232"/>
    </row>
    <row r="9" spans="1:10" ht="26.25" customHeight="1">
      <c r="A9" s="265" t="s">
        <v>226</v>
      </c>
      <c r="B9" s="266"/>
      <c r="C9" s="266"/>
      <c r="D9" s="267"/>
      <c r="E9" s="248" t="s">
        <v>8</v>
      </c>
      <c r="F9" s="246" t="s">
        <v>6</v>
      </c>
      <c r="G9" s="24" t="s">
        <v>68</v>
      </c>
      <c r="H9" s="3" t="s">
        <v>7</v>
      </c>
    </row>
    <row r="10" spans="1:10" ht="20.100000000000001" customHeight="1" thickBot="1">
      <c r="A10" s="262" t="s">
        <v>225</v>
      </c>
      <c r="B10" s="263"/>
      <c r="C10" s="263"/>
      <c r="D10" s="264"/>
      <c r="E10" s="249"/>
      <c r="F10" s="247"/>
      <c r="G10" s="4" t="s">
        <v>9</v>
      </c>
      <c r="H10" s="10">
        <v>0.29770000000000002</v>
      </c>
    </row>
    <row r="11" spans="1:10" ht="3.75" customHeight="1">
      <c r="A11" s="268"/>
      <c r="B11" s="268"/>
      <c r="C11" s="268"/>
      <c r="D11" s="268"/>
      <c r="E11" s="268"/>
      <c r="F11" s="268"/>
      <c r="G11" s="268"/>
      <c r="H11" s="268"/>
    </row>
    <row r="12" spans="1:10" ht="38.25">
      <c r="A12" s="16" t="s">
        <v>0</v>
      </c>
      <c r="B12" s="16" t="s">
        <v>5</v>
      </c>
      <c r="C12" s="16" t="s">
        <v>1</v>
      </c>
      <c r="D12" s="16" t="s">
        <v>3</v>
      </c>
      <c r="E12" s="16" t="s">
        <v>2</v>
      </c>
      <c r="F12" s="17" t="s">
        <v>12</v>
      </c>
      <c r="G12" s="17" t="s">
        <v>13</v>
      </c>
      <c r="H12" s="17" t="s">
        <v>10</v>
      </c>
    </row>
    <row r="13" spans="1:10">
      <c r="A13" s="85" t="s">
        <v>41</v>
      </c>
      <c r="B13" s="86"/>
      <c r="C13" s="87" t="s">
        <v>16</v>
      </c>
      <c r="D13" s="88"/>
      <c r="E13" s="89"/>
      <c r="F13" s="89"/>
      <c r="G13" s="89"/>
      <c r="H13" s="90"/>
    </row>
    <row r="14" spans="1:10" ht="127.5">
      <c r="A14" s="81" t="s">
        <v>14</v>
      </c>
      <c r="B14" s="184" t="s">
        <v>18</v>
      </c>
      <c r="C14" s="178" t="s">
        <v>181</v>
      </c>
      <c r="D14" s="70" t="s">
        <v>34</v>
      </c>
      <c r="E14" s="71">
        <v>1</v>
      </c>
      <c r="F14" s="71">
        <v>1088.76</v>
      </c>
      <c r="G14" s="74">
        <f>ROUND(F14+(F14*$H$10),2)</f>
        <v>1412.88</v>
      </c>
      <c r="H14" s="82">
        <f>ROUND((E14*G14),2)</f>
        <v>1412.88</v>
      </c>
    </row>
    <row r="15" spans="1:10" ht="25.5">
      <c r="A15" s="81" t="s">
        <v>17</v>
      </c>
      <c r="B15" s="184" t="s">
        <v>185</v>
      </c>
      <c r="C15" s="178" t="s">
        <v>184</v>
      </c>
      <c r="D15" s="207" t="s">
        <v>34</v>
      </c>
      <c r="E15" s="71">
        <f>'Memoria de calculo'!E12</f>
        <v>11</v>
      </c>
      <c r="F15" s="71">
        <v>74</v>
      </c>
      <c r="G15" s="74">
        <f>ROUND(F15+(F15*$H$10),2)</f>
        <v>96.03</v>
      </c>
      <c r="H15" s="82">
        <f>ROUND((E15*G15),2)</f>
        <v>1056.33</v>
      </c>
      <c r="J15" s="1">
        <v>0</v>
      </c>
    </row>
    <row r="16" spans="1:10" ht="51">
      <c r="A16" s="81" t="s">
        <v>36</v>
      </c>
      <c r="B16" s="184" t="s">
        <v>37</v>
      </c>
      <c r="C16" s="72" t="s">
        <v>38</v>
      </c>
      <c r="D16" s="70" t="s">
        <v>39</v>
      </c>
      <c r="E16" s="71">
        <v>0.5</v>
      </c>
      <c r="F16" s="187" t="s">
        <v>175</v>
      </c>
      <c r="G16" s="186">
        <f>H16</f>
        <v>521.60680000000002</v>
      </c>
      <c r="H16" s="82">
        <f>ROUND((E16*I16),2)/100</f>
        <v>521.60680000000002</v>
      </c>
      <c r="I16" s="71">
        <f>H14+H15+H18+H17+H35+H38+H54+H57</f>
        <v>104321.36832052801</v>
      </c>
    </row>
    <row r="17" spans="1:11" ht="89.25">
      <c r="A17" s="181" t="s">
        <v>40</v>
      </c>
      <c r="B17" s="184" t="s">
        <v>188</v>
      </c>
      <c r="C17" s="178" t="s">
        <v>189</v>
      </c>
      <c r="D17" s="207" t="s">
        <v>186</v>
      </c>
      <c r="E17" s="71">
        <v>1</v>
      </c>
      <c r="F17" s="71">
        <v>5054.16</v>
      </c>
      <c r="G17" s="74">
        <f>ROUND(F17+(F17*$H$10),2)</f>
        <v>6558.78</v>
      </c>
      <c r="H17" s="82">
        <f>ROUND((E17*G17),2)</f>
        <v>6558.78</v>
      </c>
    </row>
    <row r="18" spans="1:11" ht="25.5">
      <c r="A18" s="181" t="s">
        <v>174</v>
      </c>
      <c r="B18" s="184" t="s">
        <v>109</v>
      </c>
      <c r="C18" s="178" t="s">
        <v>108</v>
      </c>
      <c r="D18" s="70" t="s">
        <v>110</v>
      </c>
      <c r="E18" s="71">
        <v>2</v>
      </c>
      <c r="F18" s="71">
        <v>515</v>
      </c>
      <c r="G18" s="74">
        <f>ROUND(F18+(F18*$H$10),2)</f>
        <v>668.32</v>
      </c>
      <c r="H18" s="82">
        <f>ROUND((E18*G18),2)</f>
        <v>1336.64</v>
      </c>
      <c r="I18" s="19"/>
      <c r="K18" s="5" t="e">
        <f>E24+E43+#REF!+#REF!+#REF!+#REF!</f>
        <v>#REF!</v>
      </c>
    </row>
    <row r="19" spans="1:11">
      <c r="A19" s="91"/>
      <c r="B19" s="92"/>
      <c r="C19" s="221" t="s">
        <v>69</v>
      </c>
      <c r="D19" s="221"/>
      <c r="E19" s="221"/>
      <c r="F19" s="221"/>
      <c r="G19" s="221"/>
      <c r="H19" s="93">
        <f>SUM(H14:H18)</f>
        <v>10886.236799999999</v>
      </c>
      <c r="I19" s="19"/>
    </row>
    <row r="20" spans="1:11" ht="47.25" customHeight="1">
      <c r="A20" s="18" t="s">
        <v>42</v>
      </c>
      <c r="B20" s="222" t="s">
        <v>212</v>
      </c>
      <c r="C20" s="222"/>
      <c r="D20" s="222"/>
      <c r="E20" s="222"/>
      <c r="F20" s="222"/>
      <c r="G20" s="222"/>
      <c r="H20" s="222"/>
      <c r="I20" s="15"/>
    </row>
    <row r="21" spans="1:11">
      <c r="A21" s="85" t="s">
        <v>21</v>
      </c>
      <c r="B21" s="78"/>
      <c r="C21" s="94" t="s">
        <v>20</v>
      </c>
      <c r="D21" s="95"/>
      <c r="E21" s="79"/>
      <c r="F21" s="79"/>
      <c r="G21" s="79">
        <f t="shared" ref="G21:G34" si="0">ROUND(F21+(F21*$H$10),2)</f>
        <v>0</v>
      </c>
      <c r="H21" s="80">
        <f t="shared" ref="H21:H34" si="1">ROUND((E21*G21),2)</f>
        <v>0</v>
      </c>
      <c r="I21" s="13"/>
    </row>
    <row r="22" spans="1:11" ht="25.5">
      <c r="A22" s="81" t="s">
        <v>43</v>
      </c>
      <c r="B22" s="184" t="s">
        <v>44</v>
      </c>
      <c r="C22" s="76" t="s">
        <v>56</v>
      </c>
      <c r="D22" s="96" t="s">
        <v>57</v>
      </c>
      <c r="E22" s="74">
        <f>'Memoria de calculo'!E18</f>
        <v>94.41</v>
      </c>
      <c r="F22" s="74">
        <v>2.71</v>
      </c>
      <c r="G22" s="74">
        <f t="shared" si="0"/>
        <v>3.52</v>
      </c>
      <c r="H22" s="82">
        <f t="shared" si="1"/>
        <v>332.32</v>
      </c>
      <c r="I22" s="13"/>
    </row>
    <row r="23" spans="1:11" ht="63.75">
      <c r="A23" s="81" t="s">
        <v>45</v>
      </c>
      <c r="B23" s="184" t="s">
        <v>46</v>
      </c>
      <c r="C23" s="76" t="s">
        <v>58</v>
      </c>
      <c r="D23" s="70" t="s">
        <v>59</v>
      </c>
      <c r="E23" s="74">
        <f>'Memoria de calculo'!E19</f>
        <v>755.28</v>
      </c>
      <c r="F23" s="74">
        <v>3.2</v>
      </c>
      <c r="G23" s="74">
        <f t="shared" si="0"/>
        <v>4.1500000000000004</v>
      </c>
      <c r="H23" s="82">
        <f t="shared" si="1"/>
        <v>3134.41</v>
      </c>
    </row>
    <row r="24" spans="1:11" ht="25.5">
      <c r="A24" s="81" t="s">
        <v>47</v>
      </c>
      <c r="B24" s="188" t="s">
        <v>22</v>
      </c>
      <c r="C24" s="76" t="s">
        <v>23</v>
      </c>
      <c r="D24" s="96" t="s">
        <v>35</v>
      </c>
      <c r="E24" s="74">
        <f>'Memoria de calculo'!E20</f>
        <v>629.41</v>
      </c>
      <c r="F24" s="74">
        <v>0.78</v>
      </c>
      <c r="G24" s="74">
        <f t="shared" si="0"/>
        <v>1.01</v>
      </c>
      <c r="H24" s="82">
        <f t="shared" si="1"/>
        <v>635.70000000000005</v>
      </c>
    </row>
    <row r="25" spans="1:11">
      <c r="A25" s="81" t="s">
        <v>48</v>
      </c>
      <c r="B25" s="68" t="s">
        <v>49</v>
      </c>
      <c r="C25" s="178" t="s">
        <v>187</v>
      </c>
      <c r="D25" s="96" t="s">
        <v>57</v>
      </c>
      <c r="E25" s="74">
        <f>'Memoria de calculo'!E21</f>
        <v>94.41</v>
      </c>
      <c r="F25" s="74">
        <v>32.46</v>
      </c>
      <c r="G25" s="74">
        <f t="shared" si="0"/>
        <v>42.12</v>
      </c>
      <c r="H25" s="82">
        <f t="shared" si="1"/>
        <v>3976.55</v>
      </c>
    </row>
    <row r="26" spans="1:11" ht="51">
      <c r="A26" s="81" t="s">
        <v>50</v>
      </c>
      <c r="B26" s="188" t="s">
        <v>51</v>
      </c>
      <c r="C26" s="76" t="s">
        <v>60</v>
      </c>
      <c r="D26" s="70" t="s">
        <v>59</v>
      </c>
      <c r="E26" s="74">
        <f>'Memoria de calculo'!E22</f>
        <v>1114.038</v>
      </c>
      <c r="F26" s="74">
        <v>0.93</v>
      </c>
      <c r="G26" s="74">
        <f t="shared" si="0"/>
        <v>1.21</v>
      </c>
      <c r="H26" s="82">
        <f t="shared" si="1"/>
        <v>1347.99</v>
      </c>
    </row>
    <row r="27" spans="1:11" ht="76.5">
      <c r="A27" s="81" t="s">
        <v>52</v>
      </c>
      <c r="B27" s="188" t="s">
        <v>24</v>
      </c>
      <c r="C27" s="189" t="s">
        <v>176</v>
      </c>
      <c r="D27" s="96" t="s">
        <v>57</v>
      </c>
      <c r="E27" s="74">
        <f>'Memoria de calculo'!E23</f>
        <v>94.41</v>
      </c>
      <c r="F27" s="74">
        <v>13.51</v>
      </c>
      <c r="G27" s="74">
        <f t="shared" si="0"/>
        <v>17.53</v>
      </c>
      <c r="H27" s="82">
        <f t="shared" si="1"/>
        <v>1655.01</v>
      </c>
    </row>
    <row r="28" spans="1:11" ht="38.25">
      <c r="A28" s="81" t="s">
        <v>53</v>
      </c>
      <c r="B28" s="188" t="s">
        <v>27</v>
      </c>
      <c r="C28" s="189" t="s">
        <v>177</v>
      </c>
      <c r="D28" s="96" t="s">
        <v>35</v>
      </c>
      <c r="E28" s="74">
        <f>'Memoria de calculo'!E24</f>
        <v>629.41</v>
      </c>
      <c r="F28" s="74">
        <v>6.73</v>
      </c>
      <c r="G28" s="74">
        <f t="shared" si="0"/>
        <v>8.73</v>
      </c>
      <c r="H28" s="82">
        <f t="shared" si="1"/>
        <v>5494.75</v>
      </c>
      <c r="I28" s="5"/>
    </row>
    <row r="29" spans="1:11" ht="51">
      <c r="A29" s="81" t="s">
        <v>54</v>
      </c>
      <c r="B29" s="188" t="s">
        <v>26</v>
      </c>
      <c r="C29" s="189" t="s">
        <v>179</v>
      </c>
      <c r="D29" s="70" t="s">
        <v>35</v>
      </c>
      <c r="E29" s="74">
        <f>'Memoria de calculo'!E25</f>
        <v>560.42999999999995</v>
      </c>
      <c r="F29" s="74">
        <v>1.28</v>
      </c>
      <c r="G29" s="74">
        <f t="shared" si="0"/>
        <v>1.66</v>
      </c>
      <c r="H29" s="82">
        <f t="shared" si="1"/>
        <v>930.31</v>
      </c>
      <c r="I29" s="5"/>
    </row>
    <row r="30" spans="1:11" ht="38.25">
      <c r="A30" s="181" t="s">
        <v>126</v>
      </c>
      <c r="B30" s="188" t="s">
        <v>25</v>
      </c>
      <c r="C30" s="189" t="s">
        <v>178</v>
      </c>
      <c r="D30" s="70" t="s">
        <v>61</v>
      </c>
      <c r="E30" s="74">
        <f>'Memoria de calculo'!E26</f>
        <v>495.42011999999994</v>
      </c>
      <c r="F30" s="74">
        <v>0.46</v>
      </c>
      <c r="G30" s="74">
        <f t="shared" si="0"/>
        <v>0.6</v>
      </c>
      <c r="H30" s="82">
        <f t="shared" si="1"/>
        <v>297.25</v>
      </c>
    </row>
    <row r="31" spans="1:11" s="20" customFormat="1" ht="52.5" customHeight="1">
      <c r="A31" s="181" t="s">
        <v>55</v>
      </c>
      <c r="B31" s="215" t="s">
        <v>241</v>
      </c>
      <c r="C31" s="216" t="s">
        <v>242</v>
      </c>
      <c r="D31" s="217" t="s">
        <v>59</v>
      </c>
      <c r="E31" s="218">
        <f>'Memoria de calculo'!E27</f>
        <v>59.315911199999995</v>
      </c>
      <c r="F31" s="218">
        <v>1.17</v>
      </c>
      <c r="G31" s="218">
        <f>ROUND(F31*($H$10+1),2)</f>
        <v>1.52</v>
      </c>
      <c r="H31" s="219">
        <f t="shared" ref="H31" si="2">G31*E31</f>
        <v>90.160185024</v>
      </c>
      <c r="I31" s="214"/>
    </row>
    <row r="32" spans="1:11" s="20" customFormat="1" ht="59.25" customHeight="1">
      <c r="A32" s="181" t="s">
        <v>229</v>
      </c>
      <c r="B32" s="215" t="s">
        <v>243</v>
      </c>
      <c r="C32" s="216" t="s">
        <v>244</v>
      </c>
      <c r="D32" s="217" t="s">
        <v>59</v>
      </c>
      <c r="E32" s="218">
        <f>'Memoria de calculo'!E28</f>
        <v>257.23736999999994</v>
      </c>
      <c r="F32" s="218">
        <v>0.7</v>
      </c>
      <c r="G32" s="218">
        <f>ROUND(F32*($H$10+1),2)</f>
        <v>0.91</v>
      </c>
      <c r="H32" s="219">
        <f>G32*E32</f>
        <v>234.08600669999996</v>
      </c>
      <c r="I32" s="214"/>
    </row>
    <row r="33" spans="1:12" s="20" customFormat="1" ht="57" customHeight="1">
      <c r="A33" s="181" t="s">
        <v>231</v>
      </c>
      <c r="B33" s="215" t="s">
        <v>245</v>
      </c>
      <c r="C33" s="216" t="s">
        <v>246</v>
      </c>
      <c r="D33" s="217" t="s">
        <v>59</v>
      </c>
      <c r="E33" s="218">
        <f>'Memoria de calculo'!E29</f>
        <v>1445.9094</v>
      </c>
      <c r="F33" s="218">
        <v>0.98</v>
      </c>
      <c r="G33" s="218">
        <f>ROUND(F33*($H$10+1),2)</f>
        <v>1.27</v>
      </c>
      <c r="H33" s="219">
        <f>G33*E33</f>
        <v>1836.304938</v>
      </c>
      <c r="I33" s="214"/>
    </row>
    <row r="34" spans="1:12" ht="102">
      <c r="A34" s="181" t="s">
        <v>233</v>
      </c>
      <c r="B34" s="188" t="s">
        <v>192</v>
      </c>
      <c r="C34" s="189" t="s">
        <v>193</v>
      </c>
      <c r="D34" s="70" t="s">
        <v>57</v>
      </c>
      <c r="E34" s="74">
        <f>'Memoria de calculo'!E30</f>
        <v>16.812899999999999</v>
      </c>
      <c r="F34" s="74">
        <v>465.92</v>
      </c>
      <c r="G34" s="74">
        <f t="shared" si="0"/>
        <v>604.62</v>
      </c>
      <c r="H34" s="82">
        <f t="shared" si="1"/>
        <v>10165.42</v>
      </c>
      <c r="I34" s="13"/>
      <c r="J34" s="13"/>
    </row>
    <row r="35" spans="1:12">
      <c r="A35" s="81"/>
      <c r="B35" s="73"/>
      <c r="C35" s="226" t="s">
        <v>69</v>
      </c>
      <c r="D35" s="226"/>
      <c r="E35" s="226"/>
      <c r="F35" s="226"/>
      <c r="G35" s="226"/>
      <c r="H35" s="97">
        <f>SUM(H22:H34)</f>
        <v>30130.261129724007</v>
      </c>
      <c r="I35" s="13"/>
      <c r="J35" s="13"/>
    </row>
    <row r="36" spans="1:12">
      <c r="A36" s="83" t="s">
        <v>62</v>
      </c>
      <c r="B36" s="68"/>
      <c r="C36" s="69" t="s">
        <v>63</v>
      </c>
      <c r="D36" s="98"/>
      <c r="E36" s="70"/>
      <c r="F36" s="71"/>
      <c r="G36" s="71"/>
      <c r="H36" s="84"/>
      <c r="I36" s="14"/>
      <c r="J36" s="13"/>
    </row>
    <row r="37" spans="1:12" ht="51">
      <c r="A37" s="181" t="s">
        <v>64</v>
      </c>
      <c r="B37" s="188" t="s">
        <v>65</v>
      </c>
      <c r="C37" s="178" t="s">
        <v>180</v>
      </c>
      <c r="D37" s="70" t="s">
        <v>66</v>
      </c>
      <c r="E37" s="71">
        <f>'Memoria de calculo'!E32</f>
        <v>153.30000000000001</v>
      </c>
      <c r="F37" s="71">
        <v>28.06</v>
      </c>
      <c r="G37" s="74">
        <f>ROUND(F37+(F37*$H$10),2)</f>
        <v>36.409999999999997</v>
      </c>
      <c r="H37" s="82">
        <f>ROUND((E37*G37),2)</f>
        <v>5581.65</v>
      </c>
      <c r="I37" s="19"/>
      <c r="J37" s="13"/>
    </row>
    <row r="38" spans="1:12">
      <c r="A38" s="91"/>
      <c r="B38" s="99"/>
      <c r="C38" s="221" t="s">
        <v>69</v>
      </c>
      <c r="D38" s="221"/>
      <c r="E38" s="221"/>
      <c r="F38" s="221"/>
      <c r="G38" s="221"/>
      <c r="H38" s="100">
        <f>SUM(H37)</f>
        <v>5581.65</v>
      </c>
      <c r="I38" s="19"/>
      <c r="J38" s="13"/>
    </row>
    <row r="39" spans="1:12" ht="42.75" customHeight="1">
      <c r="A39" s="25" t="s">
        <v>72</v>
      </c>
      <c r="B39" s="223" t="s">
        <v>213</v>
      </c>
      <c r="C39" s="224"/>
      <c r="D39" s="224"/>
      <c r="E39" s="224"/>
      <c r="F39" s="224"/>
      <c r="G39" s="224"/>
      <c r="H39" s="225"/>
      <c r="I39" s="26"/>
    </row>
    <row r="40" spans="1:12" s="20" customFormat="1">
      <c r="A40" s="83" t="s">
        <v>29</v>
      </c>
      <c r="B40" s="68"/>
      <c r="C40" s="183" t="s">
        <v>20</v>
      </c>
      <c r="D40" s="70"/>
      <c r="E40" s="71"/>
      <c r="F40" s="71"/>
      <c r="G40" s="71"/>
      <c r="H40" s="101"/>
    </row>
    <row r="41" spans="1:12" s="21" customFormat="1" ht="25.5">
      <c r="A41" s="81" t="s">
        <v>73</v>
      </c>
      <c r="B41" s="68" t="s">
        <v>44</v>
      </c>
      <c r="C41" s="76" t="s">
        <v>56</v>
      </c>
      <c r="D41" s="73" t="s">
        <v>57</v>
      </c>
      <c r="E41" s="71">
        <f>'Memoria de calculo'!E35</f>
        <v>149.72</v>
      </c>
      <c r="F41" s="74">
        <v>2.71</v>
      </c>
      <c r="G41" s="74">
        <f t="shared" ref="G41:G53" si="3">ROUND(F41+(F41*$H$10),2)</f>
        <v>3.52</v>
      </c>
      <c r="H41" s="82">
        <f t="shared" ref="H41:H53" si="4">ROUND((E41*G41),2)</f>
        <v>527.01</v>
      </c>
      <c r="L41" s="22"/>
    </row>
    <row r="42" spans="1:12" s="21" customFormat="1" ht="63.75">
      <c r="A42" s="81" t="s">
        <v>74</v>
      </c>
      <c r="B42" s="68" t="s">
        <v>46</v>
      </c>
      <c r="C42" s="76" t="s">
        <v>58</v>
      </c>
      <c r="D42" s="73" t="s">
        <v>59</v>
      </c>
      <c r="E42" s="71">
        <f>'Memoria de calculo'!E36</f>
        <v>1197.76</v>
      </c>
      <c r="F42" s="74">
        <v>3.2</v>
      </c>
      <c r="G42" s="74">
        <f t="shared" si="3"/>
        <v>4.1500000000000004</v>
      </c>
      <c r="H42" s="82">
        <f t="shared" si="4"/>
        <v>4970.7</v>
      </c>
    </row>
    <row r="43" spans="1:12" s="20" customFormat="1" ht="25.5">
      <c r="A43" s="81" t="s">
        <v>75</v>
      </c>
      <c r="B43" s="73" t="s">
        <v>22</v>
      </c>
      <c r="C43" s="76" t="s">
        <v>23</v>
      </c>
      <c r="D43" s="70" t="s">
        <v>35</v>
      </c>
      <c r="E43" s="71">
        <f>'Memoria de calculo'!E37</f>
        <v>998.15</v>
      </c>
      <c r="F43" s="74">
        <v>0.78</v>
      </c>
      <c r="G43" s="74">
        <f t="shared" si="3"/>
        <v>1.01</v>
      </c>
      <c r="H43" s="82">
        <f t="shared" si="4"/>
        <v>1008.13</v>
      </c>
    </row>
    <row r="44" spans="1:12" s="21" customFormat="1">
      <c r="A44" s="81" t="s">
        <v>76</v>
      </c>
      <c r="B44" s="68" t="s">
        <v>49</v>
      </c>
      <c r="C44" s="178" t="s">
        <v>187</v>
      </c>
      <c r="D44" s="73" t="s">
        <v>57</v>
      </c>
      <c r="E44" s="71">
        <f>'Memoria de calculo'!E38</f>
        <v>149.72</v>
      </c>
      <c r="F44" s="74">
        <v>32.46</v>
      </c>
      <c r="G44" s="74">
        <f t="shared" si="3"/>
        <v>42.12</v>
      </c>
      <c r="H44" s="82">
        <f t="shared" si="4"/>
        <v>6306.21</v>
      </c>
    </row>
    <row r="45" spans="1:12" s="20" customFormat="1" ht="51">
      <c r="A45" s="81" t="s">
        <v>77</v>
      </c>
      <c r="B45" s="73" t="s">
        <v>51</v>
      </c>
      <c r="C45" s="76" t="s">
        <v>60</v>
      </c>
      <c r="D45" s="73" t="s">
        <v>59</v>
      </c>
      <c r="E45" s="71">
        <f>'Memoria de calculo'!E39</f>
        <v>1766.6960000000001</v>
      </c>
      <c r="F45" s="74">
        <v>0.93</v>
      </c>
      <c r="G45" s="74">
        <f t="shared" si="3"/>
        <v>1.21</v>
      </c>
      <c r="H45" s="82">
        <f t="shared" si="4"/>
        <v>2137.6999999999998</v>
      </c>
    </row>
    <row r="46" spans="1:12" s="20" customFormat="1" ht="76.5">
      <c r="A46" s="81" t="s">
        <v>78</v>
      </c>
      <c r="B46" s="73" t="s">
        <v>24</v>
      </c>
      <c r="C46" s="189" t="s">
        <v>176</v>
      </c>
      <c r="D46" s="73" t="s">
        <v>57</v>
      </c>
      <c r="E46" s="71">
        <f>'Memoria de calculo'!E40</f>
        <v>149.72</v>
      </c>
      <c r="F46" s="74">
        <v>13.51</v>
      </c>
      <c r="G46" s="74">
        <f t="shared" si="3"/>
        <v>17.53</v>
      </c>
      <c r="H46" s="82">
        <f t="shared" si="4"/>
        <v>2624.59</v>
      </c>
    </row>
    <row r="47" spans="1:12" s="20" customFormat="1" ht="38.25">
      <c r="A47" s="81" t="s">
        <v>79</v>
      </c>
      <c r="B47" s="73" t="s">
        <v>27</v>
      </c>
      <c r="C47" s="189" t="s">
        <v>177</v>
      </c>
      <c r="D47" s="70" t="s">
        <v>35</v>
      </c>
      <c r="E47" s="71">
        <f>'Memoria de calculo'!E41</f>
        <v>998.15</v>
      </c>
      <c r="F47" s="74">
        <v>6.73</v>
      </c>
      <c r="G47" s="74">
        <f t="shared" si="3"/>
        <v>8.73</v>
      </c>
      <c r="H47" s="82">
        <f t="shared" si="4"/>
        <v>8713.85</v>
      </c>
    </row>
    <row r="48" spans="1:12" s="20" customFormat="1" ht="51">
      <c r="A48" s="81" t="s">
        <v>80</v>
      </c>
      <c r="B48" s="73" t="s">
        <v>26</v>
      </c>
      <c r="C48" s="189" t="s">
        <v>179</v>
      </c>
      <c r="D48" s="70" t="s">
        <v>35</v>
      </c>
      <c r="E48" s="71">
        <f>'Memoria de calculo'!E42</f>
        <v>893.53</v>
      </c>
      <c r="F48" s="74">
        <v>1.28</v>
      </c>
      <c r="G48" s="74">
        <f t="shared" si="3"/>
        <v>1.66</v>
      </c>
      <c r="H48" s="82">
        <f t="shared" si="4"/>
        <v>1483.26</v>
      </c>
      <c r="I48" s="23"/>
    </row>
    <row r="49" spans="1:9" s="20" customFormat="1" ht="38.25">
      <c r="A49" s="181" t="s">
        <v>129</v>
      </c>
      <c r="B49" s="73" t="s">
        <v>25</v>
      </c>
      <c r="C49" s="189" t="s">
        <v>178</v>
      </c>
      <c r="D49" s="70" t="s">
        <v>61</v>
      </c>
      <c r="E49" s="71">
        <f>'Memoria de calculo'!E43</f>
        <v>789.88051999999993</v>
      </c>
      <c r="F49" s="74">
        <v>0.46</v>
      </c>
      <c r="G49" s="74">
        <f t="shared" si="3"/>
        <v>0.6</v>
      </c>
      <c r="H49" s="82">
        <f t="shared" si="4"/>
        <v>473.93</v>
      </c>
      <c r="I49" s="23"/>
    </row>
    <row r="50" spans="1:9" s="20" customFormat="1" ht="52.5" customHeight="1">
      <c r="A50" s="181" t="s">
        <v>81</v>
      </c>
      <c r="B50" s="215" t="s">
        <v>241</v>
      </c>
      <c r="C50" s="216" t="s">
        <v>242</v>
      </c>
      <c r="D50" s="217" t="s">
        <v>59</v>
      </c>
      <c r="E50" s="218">
        <f>'Memoria de calculo'!E44</f>
        <v>94.571215199999983</v>
      </c>
      <c r="F50" s="218">
        <v>1.17</v>
      </c>
      <c r="G50" s="218">
        <f>ROUND(F50*($H$10+1),2)</f>
        <v>1.52</v>
      </c>
      <c r="H50" s="219">
        <f t="shared" ref="H50" si="5">G50*E50</f>
        <v>143.74824710399997</v>
      </c>
      <c r="I50" s="214"/>
    </row>
    <row r="51" spans="1:9" s="20" customFormat="1" ht="59.25" customHeight="1">
      <c r="A51" s="181" t="s">
        <v>228</v>
      </c>
      <c r="B51" s="215" t="s">
        <v>243</v>
      </c>
      <c r="C51" s="216" t="s">
        <v>244</v>
      </c>
      <c r="D51" s="217" t="s">
        <v>59</v>
      </c>
      <c r="E51" s="218">
        <f>'Memoria de calculo'!E45</f>
        <v>410.13026999999994</v>
      </c>
      <c r="F51" s="218">
        <v>0.7</v>
      </c>
      <c r="G51" s="218">
        <f>ROUND(F51*($H$10+1),2)</f>
        <v>0.91</v>
      </c>
      <c r="H51" s="219">
        <f>G51*E51</f>
        <v>373.21854569999994</v>
      </c>
      <c r="I51" s="214"/>
    </row>
    <row r="52" spans="1:9" s="20" customFormat="1" ht="57" customHeight="1">
      <c r="A52" s="181" t="s">
        <v>247</v>
      </c>
      <c r="B52" s="215" t="s">
        <v>245</v>
      </c>
      <c r="C52" s="216" t="s">
        <v>246</v>
      </c>
      <c r="D52" s="217" t="s">
        <v>59</v>
      </c>
      <c r="E52" s="218">
        <f>'Memoria de calculo'!E46</f>
        <v>2305.3073999999997</v>
      </c>
      <c r="F52" s="218">
        <v>0.98</v>
      </c>
      <c r="G52" s="218">
        <f>ROUND(F52*($H$10+1),2)</f>
        <v>1.27</v>
      </c>
      <c r="H52" s="219">
        <f>G52*E52</f>
        <v>2927.7403979999995</v>
      </c>
      <c r="I52" s="214"/>
    </row>
    <row r="53" spans="1:9" s="20" customFormat="1" ht="102">
      <c r="A53" s="181" t="s">
        <v>248</v>
      </c>
      <c r="B53" s="188" t="s">
        <v>192</v>
      </c>
      <c r="C53" s="189" t="s">
        <v>193</v>
      </c>
      <c r="D53" s="70" t="s">
        <v>57</v>
      </c>
      <c r="E53" s="71">
        <f>'Memoria de calculo'!E47</f>
        <v>26.805899999999998</v>
      </c>
      <c r="F53" s="74">
        <v>465.92</v>
      </c>
      <c r="G53" s="74">
        <f t="shared" si="3"/>
        <v>604.62</v>
      </c>
      <c r="H53" s="82">
        <f t="shared" si="4"/>
        <v>16207.38</v>
      </c>
      <c r="I53" s="23"/>
    </row>
    <row r="54" spans="1:9" s="20" customFormat="1">
      <c r="A54" s="81"/>
      <c r="B54" s="73"/>
      <c r="C54" s="226" t="s">
        <v>70</v>
      </c>
      <c r="D54" s="226"/>
      <c r="E54" s="226"/>
      <c r="F54" s="226"/>
      <c r="G54" s="226"/>
      <c r="H54" s="84">
        <f>SUM(H41:H53)</f>
        <v>47897.467190803996</v>
      </c>
      <c r="I54" s="23"/>
    </row>
    <row r="55" spans="1:9">
      <c r="A55" s="102" t="s">
        <v>82</v>
      </c>
      <c r="B55" s="75"/>
      <c r="C55" s="103" t="s">
        <v>63</v>
      </c>
      <c r="D55" s="70"/>
      <c r="E55" s="74"/>
      <c r="F55" s="74"/>
      <c r="G55" s="74">
        <f>ROUND(F55+(F55*$H$10),2)</f>
        <v>0</v>
      </c>
      <c r="H55" s="82">
        <f>ROUND((E55*G55),2)</f>
        <v>0</v>
      </c>
    </row>
    <row r="56" spans="1:9" ht="51">
      <c r="A56" s="102" t="s">
        <v>83</v>
      </c>
      <c r="B56" s="75" t="s">
        <v>65</v>
      </c>
      <c r="C56" s="178" t="s">
        <v>180</v>
      </c>
      <c r="D56" s="70" t="s">
        <v>66</v>
      </c>
      <c r="E56" s="74">
        <f>'Memoria de calculo'!E49</f>
        <v>284.19</v>
      </c>
      <c r="F56" s="71">
        <v>28.06</v>
      </c>
      <c r="G56" s="74">
        <f>ROUND(F56+(F56*$H$10),2)</f>
        <v>36.409999999999997</v>
      </c>
      <c r="H56" s="82">
        <f>ROUND((E56*G56),2)</f>
        <v>10347.36</v>
      </c>
    </row>
    <row r="57" spans="1:9">
      <c r="A57" s="104"/>
      <c r="B57" s="269" t="s">
        <v>70</v>
      </c>
      <c r="C57" s="269"/>
      <c r="D57" s="269"/>
      <c r="E57" s="269"/>
      <c r="F57" s="269"/>
      <c r="G57" s="269"/>
      <c r="H57" s="93">
        <f>SUM(H56)</f>
        <v>10347.36</v>
      </c>
      <c r="I57" s="5"/>
    </row>
    <row r="58" spans="1:9">
      <c r="A58" s="243" t="s">
        <v>30</v>
      </c>
      <c r="B58" s="243"/>
      <c r="C58" s="243"/>
      <c r="D58" s="243"/>
      <c r="E58" s="243"/>
      <c r="F58" s="243"/>
      <c r="G58" s="243"/>
      <c r="H58" s="77">
        <f>H19+H35+H38+H54+H57</f>
        <v>104842.975120528</v>
      </c>
    </row>
    <row r="59" spans="1:9">
      <c r="A59" s="6"/>
      <c r="B59" s="6"/>
      <c r="C59" s="6"/>
      <c r="D59" s="6"/>
      <c r="E59" s="6"/>
      <c r="F59" s="6"/>
      <c r="G59" s="6"/>
      <c r="H59" s="7"/>
    </row>
    <row r="60" spans="1:9">
      <c r="A60" s="8"/>
      <c r="B60" s="8"/>
      <c r="C60" s="8"/>
      <c r="D60" s="8"/>
      <c r="E60" s="8"/>
      <c r="F60" s="8"/>
      <c r="G60" s="8"/>
      <c r="H60" s="8"/>
    </row>
    <row r="61" spans="1:9">
      <c r="A61" s="8"/>
      <c r="B61" s="242"/>
      <c r="C61" s="242"/>
      <c r="D61" s="8"/>
      <c r="E61" s="242"/>
      <c r="F61" s="242"/>
      <c r="G61" s="12"/>
      <c r="H61" s="8"/>
    </row>
    <row r="62" spans="1:9">
      <c r="A62" s="9"/>
      <c r="B62" s="240" t="s">
        <v>104</v>
      </c>
      <c r="C62" s="240"/>
      <c r="D62" s="9"/>
      <c r="E62" s="240" t="s">
        <v>103</v>
      </c>
      <c r="F62" s="240"/>
      <c r="G62" s="11"/>
      <c r="H62" s="9"/>
    </row>
    <row r="63" spans="1:9">
      <c r="B63" s="245" t="s">
        <v>107</v>
      </c>
      <c r="C63" s="245"/>
    </row>
    <row r="66" spans="1:8">
      <c r="A66" s="8"/>
      <c r="B66" s="242"/>
      <c r="C66" s="242"/>
      <c r="D66" s="8"/>
      <c r="E66" s="239"/>
      <c r="F66" s="239"/>
      <c r="G66" s="12"/>
      <c r="H66" s="8"/>
    </row>
    <row r="67" spans="1:8">
      <c r="A67" s="9"/>
      <c r="B67" s="240" t="s">
        <v>105</v>
      </c>
      <c r="C67" s="240"/>
      <c r="D67" s="9"/>
      <c r="E67" s="241"/>
      <c r="F67" s="241"/>
      <c r="G67" s="11"/>
      <c r="H67" s="9"/>
    </row>
    <row r="68" spans="1:8">
      <c r="B68" s="245" t="s">
        <v>106</v>
      </c>
      <c r="C68" s="245"/>
    </row>
    <row r="69" spans="1:8">
      <c r="B69" s="110"/>
      <c r="C69" s="110"/>
    </row>
  </sheetData>
  <mergeCells count="33">
    <mergeCell ref="E61:F61"/>
    <mergeCell ref="B61:C61"/>
    <mergeCell ref="A58:G58"/>
    <mergeCell ref="A3:H3"/>
    <mergeCell ref="B68:C68"/>
    <mergeCell ref="B63:C63"/>
    <mergeCell ref="F9:F10"/>
    <mergeCell ref="E9:E10"/>
    <mergeCell ref="F7:H7"/>
    <mergeCell ref="A6:E6"/>
    <mergeCell ref="A7:E7"/>
    <mergeCell ref="A8:D8"/>
    <mergeCell ref="A10:D10"/>
    <mergeCell ref="A9:D9"/>
    <mergeCell ref="A11:H11"/>
    <mergeCell ref="B57:G57"/>
    <mergeCell ref="E66:F66"/>
    <mergeCell ref="B67:C67"/>
    <mergeCell ref="E67:F67"/>
    <mergeCell ref="B66:C66"/>
    <mergeCell ref="B62:C62"/>
    <mergeCell ref="E62:F62"/>
    <mergeCell ref="C38:G38"/>
    <mergeCell ref="B20:H20"/>
    <mergeCell ref="B39:H39"/>
    <mergeCell ref="C54:G54"/>
    <mergeCell ref="A1:H1"/>
    <mergeCell ref="A2:H2"/>
    <mergeCell ref="E8:H8"/>
    <mergeCell ref="A4:H4"/>
    <mergeCell ref="F6:H6"/>
    <mergeCell ref="C19:G19"/>
    <mergeCell ref="C35:G35"/>
  </mergeCells>
  <phoneticPr fontId="2" type="noConversion"/>
  <printOptions horizontalCentered="1"/>
  <pageMargins left="0.78740157480314965" right="0.19685039370078741" top="0.39370078740157483" bottom="0.39370078740157483" header="0" footer="0"/>
  <pageSetup paperSize="9" scale="75" fitToHeight="0" orientation="portrait" horizontalDpi="300" verticalDpi="300" r:id="rId1"/>
  <headerFooter alignWithMargins="0"/>
  <drawing r:id="rId2"/>
  <legacyDrawing r:id="rId3"/>
  <oleObjects>
    <oleObject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M61"/>
  <sheetViews>
    <sheetView view="pageBreakPreview" topLeftCell="A37" zoomScale="85" zoomScaleSheetLayoutView="85" workbookViewId="0">
      <selection activeCell="E43" sqref="E43"/>
    </sheetView>
  </sheetViews>
  <sheetFormatPr defaultRowHeight="12.75"/>
  <cols>
    <col min="1" max="1" width="9.7109375" style="23" customWidth="1"/>
    <col min="2" max="2" width="60.28515625" style="23" customWidth="1"/>
    <col min="3" max="3" width="48" style="23" customWidth="1"/>
    <col min="4" max="4" width="12.42578125" style="23" customWidth="1"/>
    <col min="5" max="5" width="16.42578125" style="158" customWidth="1"/>
    <col min="6" max="7" width="9.140625" style="20"/>
    <col min="8" max="8" width="2" style="20" customWidth="1"/>
    <col min="9" max="9" width="2.140625" style="20" customWidth="1"/>
    <col min="10" max="10" width="9.140625" style="20"/>
    <col min="11" max="11" width="23.5703125" style="20" customWidth="1"/>
    <col min="12" max="12" width="10.85546875" style="20" customWidth="1"/>
    <col min="13" max="16384" width="9.140625" style="20"/>
  </cols>
  <sheetData>
    <row r="1" spans="1:11" ht="99" customHeight="1" thickBot="1">
      <c r="A1" s="277" t="s">
        <v>71</v>
      </c>
      <c r="B1" s="278"/>
      <c r="C1" s="278"/>
      <c r="D1" s="278"/>
      <c r="E1" s="279"/>
    </row>
    <row r="2" spans="1:11" ht="21" customHeight="1" thickBot="1">
      <c r="A2" s="280" t="s">
        <v>111</v>
      </c>
      <c r="B2" s="281"/>
      <c r="C2" s="281"/>
      <c r="D2" s="281"/>
      <c r="E2" s="282"/>
    </row>
    <row r="3" spans="1:11" ht="12" customHeight="1">
      <c r="A3" s="111"/>
      <c r="B3" s="112"/>
      <c r="C3" s="112"/>
      <c r="D3" s="112"/>
      <c r="E3" s="113"/>
    </row>
    <row r="4" spans="1:11" ht="20.25" customHeight="1">
      <c r="A4" s="114" t="s">
        <v>112</v>
      </c>
      <c r="B4" s="115"/>
      <c r="C4" s="116"/>
      <c r="D4" s="116"/>
      <c r="E4" s="117"/>
    </row>
    <row r="5" spans="1:11" ht="12.75" customHeight="1">
      <c r="A5" s="114" t="s">
        <v>113</v>
      </c>
      <c r="B5" s="115"/>
      <c r="C5" s="116"/>
      <c r="D5" s="116"/>
      <c r="E5" s="118"/>
      <c r="H5" s="116"/>
      <c r="I5" s="116"/>
      <c r="J5" s="116"/>
      <c r="K5" s="116"/>
    </row>
    <row r="6" spans="1:11" ht="38.25" customHeight="1">
      <c r="A6" s="283" t="s">
        <v>183</v>
      </c>
      <c r="B6" s="284"/>
      <c r="C6" s="284"/>
      <c r="D6" s="284"/>
      <c r="E6" s="285"/>
      <c r="G6" s="140" t="e">
        <f>E20+E37+#REF!+#REF!+#REF!+#REF!</f>
        <v>#REF!</v>
      </c>
      <c r="H6" s="119"/>
      <c r="I6" s="116"/>
      <c r="J6" s="116"/>
      <c r="K6" s="119"/>
    </row>
    <row r="7" spans="1:11" ht="18.75" customHeight="1">
      <c r="A7" s="286" t="s">
        <v>225</v>
      </c>
      <c r="B7" s="287"/>
      <c r="C7" s="116"/>
      <c r="D7" s="116"/>
      <c r="E7" s="118"/>
      <c r="H7" s="119"/>
      <c r="I7" s="116"/>
      <c r="J7" s="116"/>
      <c r="K7" s="119"/>
    </row>
    <row r="8" spans="1:11" ht="8.25" customHeight="1">
      <c r="A8" s="208"/>
      <c r="B8" s="116"/>
      <c r="C8" s="116"/>
      <c r="D8" s="116"/>
      <c r="E8" s="117"/>
      <c r="H8" s="116"/>
      <c r="I8" s="116"/>
      <c r="J8" s="116"/>
      <c r="K8" s="116"/>
    </row>
    <row r="9" spans="1:11" ht="24.75" customHeight="1">
      <c r="A9" s="16" t="s">
        <v>0</v>
      </c>
      <c r="B9" s="18" t="s">
        <v>1</v>
      </c>
      <c r="C9" s="18" t="s">
        <v>114</v>
      </c>
      <c r="D9" s="18" t="s">
        <v>3</v>
      </c>
      <c r="E9" s="211" t="s">
        <v>2</v>
      </c>
      <c r="H9" s="116"/>
      <c r="I9" s="116"/>
      <c r="J9" s="116"/>
      <c r="K9" s="116"/>
    </row>
    <row r="10" spans="1:11">
      <c r="A10" s="209" t="s">
        <v>41</v>
      </c>
      <c r="B10" s="210" t="s">
        <v>16</v>
      </c>
      <c r="C10" s="210"/>
      <c r="D10" s="143"/>
      <c r="E10" s="144"/>
      <c r="H10" s="116"/>
      <c r="I10" s="116"/>
      <c r="J10" s="116"/>
      <c r="K10" s="116"/>
    </row>
    <row r="11" spans="1:11" ht="102">
      <c r="A11" s="120" t="s">
        <v>115</v>
      </c>
      <c r="B11" s="185" t="s">
        <v>33</v>
      </c>
      <c r="C11" s="121" t="s">
        <v>182</v>
      </c>
      <c r="D11" s="122" t="s">
        <v>34</v>
      </c>
      <c r="E11" s="123">
        <v>1</v>
      </c>
      <c r="H11" s="116"/>
    </row>
    <row r="12" spans="1:11" ht="84" customHeight="1">
      <c r="A12" s="120" t="s">
        <v>116</v>
      </c>
      <c r="B12" s="185" t="s">
        <v>184</v>
      </c>
      <c r="C12" s="124" t="s">
        <v>211</v>
      </c>
      <c r="D12" s="180" t="s">
        <v>186</v>
      </c>
      <c r="E12" s="123">
        <f>ROUND(F12/20,0)</f>
        <v>11</v>
      </c>
      <c r="F12" s="123">
        <f>86.22+130.78</f>
        <v>217</v>
      </c>
      <c r="H12" s="125"/>
      <c r="K12" s="20" t="e">
        <f>L21+L38+#REF!+#REF!+#REF!+#REF!</f>
        <v>#REF!</v>
      </c>
    </row>
    <row r="13" spans="1:11" ht="42.75" customHeight="1">
      <c r="A13" s="126" t="s">
        <v>117</v>
      </c>
      <c r="B13" s="179" t="s">
        <v>118</v>
      </c>
      <c r="C13" s="127" t="s">
        <v>119</v>
      </c>
      <c r="D13" s="180" t="s">
        <v>39</v>
      </c>
      <c r="E13" s="123">
        <v>0.5</v>
      </c>
      <c r="F13" s="20">
        <f>550000*(0.5%)</f>
        <v>2750</v>
      </c>
      <c r="H13" s="128"/>
    </row>
    <row r="14" spans="1:11" ht="51">
      <c r="A14" s="126" t="s">
        <v>120</v>
      </c>
      <c r="B14" s="179" t="s">
        <v>190</v>
      </c>
      <c r="C14" s="121" t="s">
        <v>191</v>
      </c>
      <c r="D14" s="180" t="s">
        <v>110</v>
      </c>
      <c r="E14" s="123">
        <v>1</v>
      </c>
    </row>
    <row r="15" spans="1:11" ht="30" customHeight="1">
      <c r="A15" s="126" t="s">
        <v>173</v>
      </c>
      <c r="B15" s="179" t="s">
        <v>108</v>
      </c>
      <c r="C15" s="121" t="s">
        <v>210</v>
      </c>
      <c r="D15" s="180" t="s">
        <v>110</v>
      </c>
      <c r="E15" s="123">
        <v>1</v>
      </c>
    </row>
    <row r="16" spans="1:11">
      <c r="A16" s="126" t="s">
        <v>42</v>
      </c>
      <c r="B16" s="274" t="s">
        <v>212</v>
      </c>
      <c r="C16" s="275"/>
      <c r="D16" s="275"/>
      <c r="E16" s="276"/>
    </row>
    <row r="17" spans="1:13">
      <c r="A17" s="129" t="s">
        <v>121</v>
      </c>
      <c r="B17" s="130" t="s">
        <v>20</v>
      </c>
      <c r="C17" s="131"/>
      <c r="D17" s="122"/>
      <c r="E17" s="123"/>
    </row>
    <row r="18" spans="1:13" ht="48" customHeight="1">
      <c r="A18" s="129" t="s">
        <v>43</v>
      </c>
      <c r="B18" s="76" t="s">
        <v>56</v>
      </c>
      <c r="C18" s="121" t="s">
        <v>198</v>
      </c>
      <c r="D18" s="132" t="s">
        <v>57</v>
      </c>
      <c r="E18" s="123">
        <f>ROUND(L23*0.15,2)</f>
        <v>94.41</v>
      </c>
      <c r="F18" s="20">
        <v>8</v>
      </c>
    </row>
    <row r="19" spans="1:13" ht="36" customHeight="1">
      <c r="A19" s="129" t="s">
        <v>45</v>
      </c>
      <c r="B19" s="76" t="s">
        <v>58</v>
      </c>
      <c r="C19" s="133" t="s">
        <v>194</v>
      </c>
      <c r="D19" s="132" t="s">
        <v>59</v>
      </c>
      <c r="E19" s="123">
        <f>E18*F18</f>
        <v>755.28</v>
      </c>
      <c r="H19" s="134"/>
      <c r="I19" s="135"/>
      <c r="J19" s="135"/>
    </row>
    <row r="20" spans="1:13" ht="39.75" customHeight="1">
      <c r="A20" s="129" t="s">
        <v>47</v>
      </c>
      <c r="B20" s="76" t="s">
        <v>23</v>
      </c>
      <c r="C20" s="121" t="s">
        <v>199</v>
      </c>
      <c r="D20" s="122" t="s">
        <v>35</v>
      </c>
      <c r="E20" s="123">
        <f>L23</f>
        <v>629.41</v>
      </c>
      <c r="F20" s="20">
        <f>ROUND(E20*0.15,2)</f>
        <v>94.41</v>
      </c>
      <c r="H20" s="134"/>
      <c r="I20" s="136"/>
      <c r="J20" s="135"/>
    </row>
    <row r="21" spans="1:13" ht="24">
      <c r="A21" s="129" t="s">
        <v>48</v>
      </c>
      <c r="B21" s="178" t="s">
        <v>187</v>
      </c>
      <c r="C21" s="121" t="s">
        <v>195</v>
      </c>
      <c r="D21" s="132" t="s">
        <v>57</v>
      </c>
      <c r="E21" s="123">
        <f>F20</f>
        <v>94.41</v>
      </c>
      <c r="F21" s="20">
        <f>E21*11.8</f>
        <v>1114.038</v>
      </c>
      <c r="J21" s="119" t="s">
        <v>122</v>
      </c>
      <c r="K21" s="116"/>
      <c r="L21" s="213">
        <v>560.42999999999995</v>
      </c>
    </row>
    <row r="22" spans="1:13" ht="25.5">
      <c r="A22" s="129" t="s">
        <v>50</v>
      </c>
      <c r="B22" s="76" t="s">
        <v>60</v>
      </c>
      <c r="C22" s="121" t="s">
        <v>196</v>
      </c>
      <c r="D22" s="132" t="s">
        <v>59</v>
      </c>
      <c r="E22" s="123">
        <f>F21</f>
        <v>1114.038</v>
      </c>
      <c r="J22" s="119" t="s">
        <v>123</v>
      </c>
      <c r="K22" s="139"/>
      <c r="L22" s="212">
        <v>153.30000000000001</v>
      </c>
      <c r="M22" s="21" t="s">
        <v>124</v>
      </c>
    </row>
    <row r="23" spans="1:13" ht="76.5">
      <c r="A23" s="129" t="s">
        <v>52</v>
      </c>
      <c r="B23" s="189" t="s">
        <v>176</v>
      </c>
      <c r="C23" s="121" t="s">
        <v>197</v>
      </c>
      <c r="D23" s="137" t="s">
        <v>57</v>
      </c>
      <c r="E23" s="138">
        <f>E18</f>
        <v>94.41</v>
      </c>
      <c r="F23" s="20">
        <v>160.131</v>
      </c>
      <c r="G23" s="140">
        <f>E20</f>
        <v>629.41</v>
      </c>
      <c r="J23" s="141" t="s">
        <v>125</v>
      </c>
      <c r="K23" s="142"/>
      <c r="L23" s="212">
        <v>629.41</v>
      </c>
    </row>
    <row r="24" spans="1:13" ht="60">
      <c r="A24" s="129" t="s">
        <v>53</v>
      </c>
      <c r="B24" s="189" t="s">
        <v>177</v>
      </c>
      <c r="C24" s="121" t="s">
        <v>218</v>
      </c>
      <c r="D24" s="122" t="s">
        <v>35</v>
      </c>
      <c r="E24" s="123">
        <f>L23</f>
        <v>629.41</v>
      </c>
    </row>
    <row r="25" spans="1:13" ht="63" customHeight="1">
      <c r="A25" s="129" t="s">
        <v>54</v>
      </c>
      <c r="B25" s="189" t="s">
        <v>179</v>
      </c>
      <c r="C25" s="121" t="s">
        <v>219</v>
      </c>
      <c r="D25" s="143" t="s">
        <v>35</v>
      </c>
      <c r="E25" s="144">
        <f>L21</f>
        <v>560.42999999999995</v>
      </c>
    </row>
    <row r="26" spans="1:13" ht="48">
      <c r="A26" s="129" t="s">
        <v>126</v>
      </c>
      <c r="B26" s="189" t="s">
        <v>178</v>
      </c>
      <c r="C26" s="133" t="s">
        <v>200</v>
      </c>
      <c r="D26" s="122" t="s">
        <v>61</v>
      </c>
      <c r="E26" s="123">
        <f>E25*520*(0.0012+0.0005)</f>
        <v>495.42011999999994</v>
      </c>
    </row>
    <row r="27" spans="1:13" ht="36">
      <c r="A27" s="129" t="s">
        <v>229</v>
      </c>
      <c r="B27" s="179" t="s">
        <v>230</v>
      </c>
      <c r="C27" s="121" t="s">
        <v>235</v>
      </c>
      <c r="D27" s="180" t="s">
        <v>59</v>
      </c>
      <c r="E27" s="220">
        <f>E25*0.03*1.26*2.8</f>
        <v>59.315911199999995</v>
      </c>
    </row>
    <row r="28" spans="1:13" ht="40.5" customHeight="1">
      <c r="A28" s="129" t="s">
        <v>231</v>
      </c>
      <c r="B28" s="185" t="s">
        <v>232</v>
      </c>
      <c r="C28" s="121" t="s">
        <v>237</v>
      </c>
      <c r="D28" s="180" t="s">
        <v>59</v>
      </c>
      <c r="E28" s="220">
        <f>E25*0.03*0.18*85</f>
        <v>257.23736999999994</v>
      </c>
    </row>
    <row r="29" spans="1:13" ht="25.5">
      <c r="A29" s="129" t="s">
        <v>233</v>
      </c>
      <c r="B29" s="185" t="s">
        <v>234</v>
      </c>
      <c r="C29" s="121" t="s">
        <v>236</v>
      </c>
      <c r="D29" s="180" t="s">
        <v>59</v>
      </c>
      <c r="E29" s="220">
        <f>E25*0.03*86</f>
        <v>1445.9094</v>
      </c>
    </row>
    <row r="30" spans="1:13" ht="76.5">
      <c r="A30" s="129" t="s">
        <v>55</v>
      </c>
      <c r="B30" s="189" t="s">
        <v>193</v>
      </c>
      <c r="C30" s="121" t="s">
        <v>201</v>
      </c>
      <c r="D30" s="122" t="s">
        <v>57</v>
      </c>
      <c r="E30" s="123">
        <f>E25*0.03</f>
        <v>16.812899999999999</v>
      </c>
    </row>
    <row r="31" spans="1:13" ht="15.75" customHeight="1">
      <c r="A31" s="129" t="s">
        <v>62</v>
      </c>
      <c r="B31" s="130" t="s">
        <v>127</v>
      </c>
      <c r="C31" s="131"/>
      <c r="D31" s="122"/>
      <c r="E31" s="123"/>
    </row>
    <row r="32" spans="1:13" ht="69" customHeight="1">
      <c r="A32" s="145" t="s">
        <v>64</v>
      </c>
      <c r="B32" s="178" t="s">
        <v>180</v>
      </c>
      <c r="C32" s="182" t="s">
        <v>202</v>
      </c>
      <c r="D32" s="122" t="s">
        <v>66</v>
      </c>
      <c r="E32" s="123">
        <f>L22</f>
        <v>153.30000000000001</v>
      </c>
    </row>
    <row r="33" spans="1:13">
      <c r="A33" s="126" t="s">
        <v>72</v>
      </c>
      <c r="B33" s="274" t="s">
        <v>213</v>
      </c>
      <c r="C33" s="275"/>
      <c r="D33" s="275"/>
      <c r="E33" s="276"/>
    </row>
    <row r="34" spans="1:13">
      <c r="A34" s="129" t="s">
        <v>128</v>
      </c>
      <c r="B34" s="130" t="s">
        <v>20</v>
      </c>
      <c r="C34" s="131"/>
      <c r="D34" s="146"/>
      <c r="E34" s="123"/>
    </row>
    <row r="35" spans="1:13" ht="48">
      <c r="A35" s="129" t="s">
        <v>73</v>
      </c>
      <c r="B35" s="76" t="s">
        <v>56</v>
      </c>
      <c r="C35" s="121" t="s">
        <v>203</v>
      </c>
      <c r="D35" s="132" t="s">
        <v>57</v>
      </c>
      <c r="E35" s="123">
        <f>ROUND(L40*0.15,2)</f>
        <v>149.72</v>
      </c>
      <c r="F35" s="20">
        <v>8</v>
      </c>
    </row>
    <row r="36" spans="1:13" ht="49.5" customHeight="1">
      <c r="A36" s="129" t="s">
        <v>74</v>
      </c>
      <c r="B36" s="76" t="s">
        <v>58</v>
      </c>
      <c r="C36" s="133" t="s">
        <v>204</v>
      </c>
      <c r="D36" s="132" t="s">
        <v>59</v>
      </c>
      <c r="E36" s="123">
        <f>E35*F35</f>
        <v>1197.76</v>
      </c>
      <c r="H36" s="134"/>
      <c r="I36" s="135"/>
      <c r="J36" s="135"/>
    </row>
    <row r="37" spans="1:13" ht="39.75" customHeight="1">
      <c r="A37" s="129" t="s">
        <v>75</v>
      </c>
      <c r="B37" s="76" t="s">
        <v>23</v>
      </c>
      <c r="C37" s="121" t="s">
        <v>220</v>
      </c>
      <c r="D37" s="146" t="s">
        <v>35</v>
      </c>
      <c r="E37" s="123">
        <f>L40</f>
        <v>998.15</v>
      </c>
      <c r="F37" s="20">
        <f>ROUND(E37*0.15,2)</f>
        <v>149.72</v>
      </c>
      <c r="H37" s="134"/>
      <c r="I37" s="136"/>
      <c r="J37" s="135"/>
    </row>
    <row r="38" spans="1:13" ht="36">
      <c r="A38" s="129" t="s">
        <v>76</v>
      </c>
      <c r="B38" s="178" t="s">
        <v>187</v>
      </c>
      <c r="C38" s="121" t="s">
        <v>205</v>
      </c>
      <c r="D38" s="132" t="s">
        <v>57</v>
      </c>
      <c r="E38" s="123">
        <f>F37</f>
        <v>149.72</v>
      </c>
      <c r="F38" s="20">
        <f>E38*11.8</f>
        <v>1766.6960000000001</v>
      </c>
      <c r="J38" s="119" t="s">
        <v>122</v>
      </c>
      <c r="K38" s="116"/>
      <c r="L38" s="116">
        <v>893.53</v>
      </c>
    </row>
    <row r="39" spans="1:13" ht="25.5">
      <c r="A39" s="129" t="s">
        <v>77</v>
      </c>
      <c r="B39" s="76" t="s">
        <v>60</v>
      </c>
      <c r="C39" s="121" t="s">
        <v>206</v>
      </c>
      <c r="D39" s="132" t="s">
        <v>59</v>
      </c>
      <c r="E39" s="123">
        <f>F38</f>
        <v>1766.6960000000001</v>
      </c>
      <c r="J39" s="119" t="s">
        <v>123</v>
      </c>
      <c r="K39" s="139"/>
      <c r="L39" s="139">
        <v>284.19</v>
      </c>
      <c r="M39" s="21" t="s">
        <v>124</v>
      </c>
    </row>
    <row r="40" spans="1:13" ht="76.5">
      <c r="A40" s="129" t="s">
        <v>78</v>
      </c>
      <c r="B40" s="189" t="s">
        <v>176</v>
      </c>
      <c r="C40" s="121" t="s">
        <v>221</v>
      </c>
      <c r="D40" s="137" t="s">
        <v>57</v>
      </c>
      <c r="E40" s="138">
        <f>E35</f>
        <v>149.72</v>
      </c>
      <c r="F40" s="20">
        <v>160.131</v>
      </c>
      <c r="G40" s="140">
        <f>E37</f>
        <v>998.15</v>
      </c>
      <c r="J40" s="141" t="s">
        <v>125</v>
      </c>
      <c r="K40" s="142"/>
      <c r="L40" s="142">
        <v>998.15</v>
      </c>
    </row>
    <row r="41" spans="1:13" ht="73.5" customHeight="1">
      <c r="A41" s="129" t="s">
        <v>79</v>
      </c>
      <c r="B41" s="189" t="s">
        <v>177</v>
      </c>
      <c r="C41" s="121" t="s">
        <v>207</v>
      </c>
      <c r="D41" s="146" t="s">
        <v>35</v>
      </c>
      <c r="E41" s="123">
        <f>L40</f>
        <v>998.15</v>
      </c>
    </row>
    <row r="42" spans="1:13" ht="75.75" customHeight="1">
      <c r="A42" s="129" t="s">
        <v>80</v>
      </c>
      <c r="B42" s="189" t="s">
        <v>179</v>
      </c>
      <c r="C42" s="121" t="s">
        <v>222</v>
      </c>
      <c r="D42" s="147" t="s">
        <v>35</v>
      </c>
      <c r="E42" s="144">
        <f>L38</f>
        <v>893.53</v>
      </c>
    </row>
    <row r="43" spans="1:13" ht="66" customHeight="1">
      <c r="A43" s="129" t="s">
        <v>129</v>
      </c>
      <c r="B43" s="189" t="s">
        <v>178</v>
      </c>
      <c r="C43" s="133" t="s">
        <v>208</v>
      </c>
      <c r="D43" s="146" t="s">
        <v>61</v>
      </c>
      <c r="E43" s="123">
        <f>E42*520*(0.0012+0.0005)</f>
        <v>789.88051999999993</v>
      </c>
    </row>
    <row r="44" spans="1:13" ht="36">
      <c r="A44" s="129" t="s">
        <v>229</v>
      </c>
      <c r="B44" s="179" t="s">
        <v>230</v>
      </c>
      <c r="C44" s="121" t="s">
        <v>238</v>
      </c>
      <c r="D44" s="180" t="s">
        <v>59</v>
      </c>
      <c r="E44" s="220">
        <f>E42*0.03*1.26*2.8</f>
        <v>94.571215199999983</v>
      </c>
    </row>
    <row r="45" spans="1:13" ht="40.5" customHeight="1">
      <c r="A45" s="129" t="s">
        <v>231</v>
      </c>
      <c r="B45" s="185" t="s">
        <v>232</v>
      </c>
      <c r="C45" s="121" t="s">
        <v>239</v>
      </c>
      <c r="D45" s="180" t="s">
        <v>59</v>
      </c>
      <c r="E45" s="220">
        <f>E42*0.03*0.18*85</f>
        <v>410.13026999999994</v>
      </c>
    </row>
    <row r="46" spans="1:13" ht="25.5">
      <c r="A46" s="129" t="s">
        <v>233</v>
      </c>
      <c r="B46" s="185" t="s">
        <v>234</v>
      </c>
      <c r="C46" s="121" t="s">
        <v>240</v>
      </c>
      <c r="D46" s="180" t="s">
        <v>59</v>
      </c>
      <c r="E46" s="220">
        <f>E42*0.03*86</f>
        <v>2305.3073999999997</v>
      </c>
    </row>
    <row r="47" spans="1:13" ht="84.75" customHeight="1">
      <c r="A47" s="129" t="s">
        <v>81</v>
      </c>
      <c r="B47" s="189" t="s">
        <v>193</v>
      </c>
      <c r="C47" s="121" t="s">
        <v>223</v>
      </c>
      <c r="D47" s="146" t="s">
        <v>57</v>
      </c>
      <c r="E47" s="123">
        <f>E42*0.03</f>
        <v>26.805899999999998</v>
      </c>
    </row>
    <row r="48" spans="1:13">
      <c r="A48" s="129" t="s">
        <v>82</v>
      </c>
      <c r="B48" s="130" t="s">
        <v>127</v>
      </c>
      <c r="C48" s="131"/>
      <c r="D48" s="146"/>
      <c r="E48" s="123"/>
    </row>
    <row r="49" spans="1:5" ht="93.75" customHeight="1">
      <c r="A49" s="145" t="s">
        <v>83</v>
      </c>
      <c r="B49" s="178" t="s">
        <v>180</v>
      </c>
      <c r="C49" s="182" t="s">
        <v>209</v>
      </c>
      <c r="D49" s="146" t="s">
        <v>66</v>
      </c>
      <c r="E49" s="123">
        <f>L39</f>
        <v>284.19</v>
      </c>
    </row>
    <row r="50" spans="1:5">
      <c r="A50" s="20"/>
      <c r="B50" s="116"/>
      <c r="C50" s="20"/>
      <c r="D50" s="20"/>
      <c r="E50" s="148"/>
    </row>
    <row r="51" spans="1:5">
      <c r="A51" s="20"/>
      <c r="B51" s="20"/>
      <c r="C51" s="20"/>
      <c r="D51" s="20"/>
      <c r="E51" s="148"/>
    </row>
    <row r="52" spans="1:5">
      <c r="A52" s="270" t="s">
        <v>130</v>
      </c>
      <c r="B52" s="270"/>
      <c r="C52" s="270"/>
      <c r="D52" s="270"/>
      <c r="E52" s="270"/>
    </row>
    <row r="53" spans="1:5">
      <c r="A53" s="149"/>
      <c r="B53" s="149"/>
      <c r="C53" s="150"/>
      <c r="D53" s="151"/>
      <c r="E53" s="152"/>
    </row>
    <row r="54" spans="1:5">
      <c r="A54" s="149"/>
      <c r="B54" s="149"/>
      <c r="C54" s="150"/>
      <c r="D54" s="151"/>
      <c r="E54" s="152"/>
    </row>
    <row r="55" spans="1:5">
      <c r="A55" s="272" t="s">
        <v>131</v>
      </c>
      <c r="B55" s="272"/>
      <c r="C55" s="272"/>
      <c r="D55" s="272"/>
      <c r="E55" s="272"/>
    </row>
    <row r="56" spans="1:5">
      <c r="A56" s="272" t="s">
        <v>132</v>
      </c>
      <c r="B56" s="272"/>
      <c r="C56" s="272"/>
      <c r="D56" s="272"/>
      <c r="E56" s="272"/>
    </row>
    <row r="57" spans="1:5">
      <c r="A57" s="273" t="s">
        <v>107</v>
      </c>
      <c r="B57" s="273"/>
      <c r="C57" s="273"/>
      <c r="D57" s="273"/>
      <c r="E57" s="273"/>
    </row>
    <row r="58" spans="1:5">
      <c r="A58" s="273" t="s">
        <v>133</v>
      </c>
      <c r="B58" s="273"/>
      <c r="C58" s="273"/>
      <c r="D58" s="273"/>
      <c r="E58" s="273"/>
    </row>
    <row r="59" spans="1:5">
      <c r="A59" s="270"/>
      <c r="B59" s="270"/>
      <c r="C59" s="153"/>
      <c r="D59" s="270"/>
      <c r="E59" s="270"/>
    </row>
    <row r="60" spans="1:5">
      <c r="A60" s="271"/>
      <c r="B60" s="271"/>
      <c r="C60" s="153"/>
      <c r="D60" s="154"/>
      <c r="E60" s="155"/>
    </row>
    <row r="61" spans="1:5">
      <c r="A61" s="156"/>
      <c r="B61" s="156"/>
      <c r="C61" s="156"/>
      <c r="D61" s="156"/>
      <c r="E61" s="157"/>
    </row>
  </sheetData>
  <mergeCells count="14">
    <mergeCell ref="B33:E33"/>
    <mergeCell ref="A1:E1"/>
    <mergeCell ref="A2:E2"/>
    <mergeCell ref="A6:E6"/>
    <mergeCell ref="A7:B7"/>
    <mergeCell ref="B16:E16"/>
    <mergeCell ref="A59:B59"/>
    <mergeCell ref="D59:E59"/>
    <mergeCell ref="A60:B60"/>
    <mergeCell ref="A52:E52"/>
    <mergeCell ref="A55:E55"/>
    <mergeCell ref="A56:E56"/>
    <mergeCell ref="A57:E57"/>
    <mergeCell ref="A58:E58"/>
  </mergeCells>
  <printOptions horizontalCentered="1"/>
  <pageMargins left="0.31496062992125984" right="0.31496062992125984" top="0.19685039370078741" bottom="0.19685039370078741" header="0.31496062992125984" footer="0.31496062992125984"/>
  <pageSetup paperSize="9" scale="81" orientation="landscape" r:id="rId1"/>
  <rowBreaks count="1" manualBreakCount="1">
    <brk id="20" max="4" man="1"/>
  </rowBreaks>
  <legacyDrawing r:id="rId2"/>
  <oleObjects>
    <oleObject shapeId="7169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"/>
  <sheetViews>
    <sheetView showGridLines="0" showZeros="0" view="pageBreakPreview" topLeftCell="A4" zoomScale="85" zoomScaleNormal="75" zoomScaleSheetLayoutView="85" workbookViewId="0">
      <selection activeCell="D6" sqref="D6:H6"/>
    </sheetView>
  </sheetViews>
  <sheetFormatPr defaultRowHeight="12.75"/>
  <cols>
    <col min="1" max="1" width="12.140625" style="27" customWidth="1"/>
    <col min="2" max="2" width="10.42578125" style="27" customWidth="1"/>
    <col min="3" max="3" width="64.28515625" style="27" customWidth="1"/>
    <col min="4" max="4" width="14.28515625" style="64" customWidth="1"/>
    <col min="5" max="5" width="16.42578125" style="64" customWidth="1"/>
    <col min="6" max="6" width="19.85546875" style="27" customWidth="1"/>
    <col min="7" max="7" width="14.7109375" style="27" customWidth="1"/>
    <col min="8" max="8" width="15.42578125" style="27" customWidth="1"/>
    <col min="9" max="9" width="15.5703125" style="27" customWidth="1"/>
    <col min="10" max="10" width="14" style="27" customWidth="1"/>
    <col min="11" max="11" width="18" style="27" customWidth="1"/>
    <col min="12" max="12" width="19.5703125" style="27" customWidth="1"/>
    <col min="13" max="16384" width="9.140625" style="27"/>
  </cols>
  <sheetData>
    <row r="1" spans="1:11" ht="91.5" customHeight="1">
      <c r="A1" s="305"/>
      <c r="B1" s="306"/>
      <c r="C1" s="306"/>
      <c r="D1" s="306"/>
      <c r="E1" s="306"/>
      <c r="F1" s="306"/>
      <c r="G1" s="306"/>
      <c r="H1" s="306"/>
      <c r="I1" s="306"/>
      <c r="J1" s="306"/>
      <c r="K1" s="307"/>
    </row>
    <row r="2" spans="1:11" ht="2.25" customHeight="1">
      <c r="A2" s="190"/>
      <c r="B2" s="28"/>
      <c r="C2" s="28"/>
      <c r="D2" s="29"/>
      <c r="E2" s="29"/>
      <c r="F2" s="29"/>
      <c r="G2" s="29"/>
      <c r="H2" s="29"/>
      <c r="I2" s="28"/>
      <c r="J2" s="28"/>
      <c r="K2" s="191"/>
    </row>
    <row r="3" spans="1:11" ht="15.75">
      <c r="A3" s="291"/>
      <c r="B3" s="292"/>
      <c r="C3" s="292"/>
      <c r="D3" s="292"/>
      <c r="E3" s="292"/>
      <c r="F3" s="292"/>
      <c r="G3" s="292"/>
      <c r="H3" s="292"/>
      <c r="I3" s="292"/>
      <c r="J3" s="292"/>
      <c r="K3" s="293"/>
    </row>
    <row r="4" spans="1:11" ht="3.75" customHeight="1">
      <c r="A4" s="58"/>
      <c r="B4" s="30"/>
      <c r="C4" s="30"/>
      <c r="D4" s="29"/>
      <c r="E4" s="29"/>
      <c r="F4" s="30"/>
      <c r="G4" s="30"/>
      <c r="H4" s="30"/>
      <c r="I4" s="30"/>
      <c r="J4" s="30"/>
      <c r="K4" s="60"/>
    </row>
    <row r="5" spans="1:11" ht="18" customHeight="1">
      <c r="A5" s="294" t="s">
        <v>84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</row>
    <row r="6" spans="1:11" ht="18" customHeight="1">
      <c r="A6" s="295" t="s">
        <v>99</v>
      </c>
      <c r="B6" s="296"/>
      <c r="C6" s="297"/>
      <c r="D6" s="296" t="s">
        <v>249</v>
      </c>
      <c r="E6" s="296"/>
      <c r="F6" s="296"/>
      <c r="G6" s="296"/>
      <c r="H6" s="297"/>
      <c r="I6" s="298" t="s">
        <v>224</v>
      </c>
      <c r="J6" s="298"/>
      <c r="K6" s="299"/>
    </row>
    <row r="7" spans="1:11" ht="18" customHeight="1" thickBot="1">
      <c r="A7" s="302" t="s">
        <v>101</v>
      </c>
      <c r="B7" s="289"/>
      <c r="C7" s="303"/>
      <c r="D7" s="289" t="s">
        <v>102</v>
      </c>
      <c r="E7" s="289"/>
      <c r="F7" s="289"/>
      <c r="G7" s="289"/>
      <c r="H7" s="289"/>
      <c r="I7" s="288" t="s">
        <v>227</v>
      </c>
      <c r="J7" s="289"/>
      <c r="K7" s="290"/>
    </row>
    <row r="8" spans="1:11" ht="36" customHeight="1" thickBot="1">
      <c r="A8" s="31" t="s">
        <v>0</v>
      </c>
      <c r="B8" s="32" t="s">
        <v>5</v>
      </c>
      <c r="C8" s="32" t="s">
        <v>85</v>
      </c>
      <c r="D8" s="33" t="s">
        <v>86</v>
      </c>
      <c r="E8" s="33" t="s">
        <v>87</v>
      </c>
      <c r="F8" s="32" t="s">
        <v>88</v>
      </c>
      <c r="G8" s="32" t="s">
        <v>89</v>
      </c>
      <c r="H8" s="32" t="s">
        <v>90</v>
      </c>
      <c r="I8" s="32" t="s">
        <v>91</v>
      </c>
      <c r="J8" s="32" t="s">
        <v>92</v>
      </c>
      <c r="K8" s="34" t="s">
        <v>93</v>
      </c>
    </row>
    <row r="9" spans="1:11" ht="14.25" customHeight="1">
      <c r="A9" s="108">
        <v>1</v>
      </c>
      <c r="B9" s="315" t="s">
        <v>15</v>
      </c>
      <c r="C9" s="316" t="s">
        <v>16</v>
      </c>
      <c r="D9" s="35" t="s">
        <v>94</v>
      </c>
      <c r="E9" s="106">
        <f>E10/$E$20</f>
        <v>0.10383372646078697</v>
      </c>
      <c r="F9" s="36">
        <v>1</v>
      </c>
      <c r="G9" s="36"/>
      <c r="H9" s="36"/>
      <c r="I9" s="37"/>
      <c r="J9" s="38"/>
      <c r="K9" s="39"/>
    </row>
    <row r="10" spans="1:11" ht="14.25" customHeight="1">
      <c r="A10" s="109"/>
      <c r="B10" s="301"/>
      <c r="C10" s="300"/>
      <c r="D10" s="40" t="s">
        <v>95</v>
      </c>
      <c r="E10" s="65">
        <f>'Planilha Orcamentaria'!$H$19</f>
        <v>10886.236799999999</v>
      </c>
      <c r="F10" s="41">
        <f t="shared" ref="F10:K10" si="0">F9*$E$10</f>
        <v>10886.236799999999</v>
      </c>
      <c r="G10" s="41">
        <f t="shared" si="0"/>
        <v>0</v>
      </c>
      <c r="H10" s="41">
        <f t="shared" si="0"/>
        <v>0</v>
      </c>
      <c r="I10" s="41">
        <f t="shared" si="0"/>
        <v>0</v>
      </c>
      <c r="J10" s="41">
        <f t="shared" si="0"/>
        <v>0</v>
      </c>
      <c r="K10" s="42">
        <f t="shared" si="0"/>
        <v>0</v>
      </c>
    </row>
    <row r="11" spans="1:11" ht="14.25" customHeight="1">
      <c r="A11" s="109">
        <v>2</v>
      </c>
      <c r="B11" s="301" t="s">
        <v>19</v>
      </c>
      <c r="C11" s="300" t="s">
        <v>214</v>
      </c>
      <c r="D11" s="40" t="s">
        <v>94</v>
      </c>
      <c r="E11" s="106">
        <f>E12/$E$20</f>
        <v>0.28738464446555534</v>
      </c>
      <c r="F11" s="36">
        <v>1</v>
      </c>
      <c r="G11" s="36"/>
      <c r="H11" s="36"/>
      <c r="I11" s="37"/>
      <c r="J11" s="38"/>
      <c r="K11" s="39"/>
    </row>
    <row r="12" spans="1:11" ht="14.25" customHeight="1">
      <c r="A12" s="109"/>
      <c r="B12" s="301"/>
      <c r="C12" s="300"/>
      <c r="D12" s="40" t="s">
        <v>95</v>
      </c>
      <c r="E12" s="65">
        <f>'Planilha Orcamentaria'!$H$35</f>
        <v>30130.261129724007</v>
      </c>
      <c r="F12" s="41">
        <f t="shared" ref="F12:K12" si="1">F11*$E$12</f>
        <v>30130.261129724007</v>
      </c>
      <c r="G12" s="41">
        <f t="shared" si="1"/>
        <v>0</v>
      </c>
      <c r="H12" s="41">
        <f t="shared" si="1"/>
        <v>0</v>
      </c>
      <c r="I12" s="41">
        <f t="shared" si="1"/>
        <v>0</v>
      </c>
      <c r="J12" s="41">
        <f t="shared" si="1"/>
        <v>0</v>
      </c>
      <c r="K12" s="42">
        <f t="shared" si="1"/>
        <v>0</v>
      </c>
    </row>
    <row r="13" spans="1:11" ht="14.25" customHeight="1">
      <c r="A13" s="109">
        <v>3</v>
      </c>
      <c r="B13" s="301" t="s">
        <v>28</v>
      </c>
      <c r="C13" s="300" t="s">
        <v>215</v>
      </c>
      <c r="D13" s="40" t="s">
        <v>94</v>
      </c>
      <c r="E13" s="106">
        <f>E14/$E$20</f>
        <v>5.3238187809753652E-2</v>
      </c>
      <c r="F13" s="36">
        <v>1</v>
      </c>
      <c r="G13" s="36">
        <v>0</v>
      </c>
      <c r="H13" s="36"/>
      <c r="I13" s="37"/>
      <c r="J13" s="38"/>
      <c r="K13" s="39"/>
    </row>
    <row r="14" spans="1:11" ht="14.25" customHeight="1">
      <c r="A14" s="109"/>
      <c r="B14" s="301"/>
      <c r="C14" s="300"/>
      <c r="D14" s="40" t="s">
        <v>95</v>
      </c>
      <c r="E14" s="65">
        <f>'Planilha Orcamentaria'!$H$38</f>
        <v>5581.65</v>
      </c>
      <c r="F14" s="41">
        <f t="shared" ref="F14:K14" si="2">F13*$E$14</f>
        <v>5581.65</v>
      </c>
      <c r="G14" s="41">
        <f t="shared" si="2"/>
        <v>0</v>
      </c>
      <c r="H14" s="41">
        <f t="shared" si="2"/>
        <v>0</v>
      </c>
      <c r="I14" s="41">
        <f t="shared" si="2"/>
        <v>0</v>
      </c>
      <c r="J14" s="41">
        <f t="shared" si="2"/>
        <v>0</v>
      </c>
      <c r="K14" s="42">
        <f t="shared" si="2"/>
        <v>0</v>
      </c>
    </row>
    <row r="15" spans="1:11" ht="14.25" customHeight="1">
      <c r="A15" s="314">
        <v>4</v>
      </c>
      <c r="B15" s="301" t="s">
        <v>19</v>
      </c>
      <c r="C15" s="300" t="s">
        <v>216</v>
      </c>
      <c r="D15" s="40" t="s">
        <v>94</v>
      </c>
      <c r="E15" s="106">
        <f>E16/$E$20</f>
        <v>0.45684956131529869</v>
      </c>
      <c r="F15" s="36"/>
      <c r="G15" s="36">
        <v>1</v>
      </c>
      <c r="H15" s="36"/>
      <c r="I15" s="37"/>
      <c r="J15" s="38"/>
      <c r="K15" s="39"/>
    </row>
    <row r="16" spans="1:11" ht="14.25" customHeight="1">
      <c r="A16" s="314"/>
      <c r="B16" s="301"/>
      <c r="C16" s="300"/>
      <c r="D16" s="40" t="s">
        <v>95</v>
      </c>
      <c r="E16" s="65">
        <f>'Planilha Orcamentaria'!$H$54</f>
        <v>47897.467190803996</v>
      </c>
      <c r="F16" s="41">
        <f t="shared" ref="F16:K16" si="3">F15*$E$16</f>
        <v>0</v>
      </c>
      <c r="G16" s="41">
        <f t="shared" si="3"/>
        <v>47897.467190803996</v>
      </c>
      <c r="H16" s="41">
        <f t="shared" si="3"/>
        <v>0</v>
      </c>
      <c r="I16" s="41">
        <f t="shared" si="3"/>
        <v>0</v>
      </c>
      <c r="J16" s="41">
        <f t="shared" si="3"/>
        <v>0</v>
      </c>
      <c r="K16" s="42">
        <f t="shared" si="3"/>
        <v>0</v>
      </c>
    </row>
    <row r="17" spans="1:13" ht="14.25" customHeight="1">
      <c r="A17" s="314">
        <v>5</v>
      </c>
      <c r="B17" s="301" t="s">
        <v>28</v>
      </c>
      <c r="C17" s="300" t="s">
        <v>217</v>
      </c>
      <c r="D17" s="40" t="s">
        <v>94</v>
      </c>
      <c r="E17" s="106">
        <f>E18/$E$20</f>
        <v>9.8693879948605276E-2</v>
      </c>
      <c r="F17" s="36"/>
      <c r="G17" s="36">
        <v>1</v>
      </c>
      <c r="H17" s="36">
        <v>0</v>
      </c>
      <c r="I17" s="37"/>
      <c r="J17" s="38"/>
      <c r="K17" s="39"/>
    </row>
    <row r="18" spans="1:13" ht="14.25" customHeight="1">
      <c r="A18" s="314"/>
      <c r="B18" s="301"/>
      <c r="C18" s="300"/>
      <c r="D18" s="40" t="s">
        <v>95</v>
      </c>
      <c r="E18" s="105">
        <f>'Planilha Orcamentaria'!$H$57</f>
        <v>10347.36</v>
      </c>
      <c r="F18" s="41">
        <f t="shared" ref="F18:K18" si="4">F17*$E$16</f>
        <v>0</v>
      </c>
      <c r="G18" s="41">
        <f>G17*$E$18</f>
        <v>10347.36</v>
      </c>
      <c r="H18" s="41">
        <f t="shared" si="4"/>
        <v>0</v>
      </c>
      <c r="I18" s="41">
        <f t="shared" si="4"/>
        <v>0</v>
      </c>
      <c r="J18" s="41">
        <f t="shared" si="4"/>
        <v>0</v>
      </c>
      <c r="K18" s="42">
        <f t="shared" si="4"/>
        <v>0</v>
      </c>
    </row>
    <row r="19" spans="1:13" ht="14.25" customHeight="1">
      <c r="A19" s="308" t="s">
        <v>96</v>
      </c>
      <c r="B19" s="309"/>
      <c r="C19" s="310"/>
      <c r="D19" s="43" t="s">
        <v>94</v>
      </c>
      <c r="E19" s="66">
        <f>E9+E11+E13++E15+E17</f>
        <v>0.99999999999999989</v>
      </c>
      <c r="F19" s="44">
        <f t="shared" ref="F19:K19" si="5">F20/$E$20</f>
        <v>0.44445655873609602</v>
      </c>
      <c r="G19" s="44">
        <f t="shared" si="5"/>
        <v>0.55554344126390398</v>
      </c>
      <c r="H19" s="44">
        <f t="shared" si="5"/>
        <v>0</v>
      </c>
      <c r="I19" s="44">
        <f t="shared" si="5"/>
        <v>0</v>
      </c>
      <c r="J19" s="44">
        <f t="shared" si="5"/>
        <v>0</v>
      </c>
      <c r="K19" s="45">
        <f t="shared" si="5"/>
        <v>0</v>
      </c>
      <c r="L19" s="107"/>
    </row>
    <row r="20" spans="1:13" ht="13.5" customHeight="1" thickBot="1">
      <c r="A20" s="311"/>
      <c r="B20" s="312"/>
      <c r="C20" s="313"/>
      <c r="D20" s="46" t="s">
        <v>95</v>
      </c>
      <c r="E20" s="67">
        <f>E10+E12+E14+E16+E18</f>
        <v>104842.975120528</v>
      </c>
      <c r="F20" s="47">
        <f>F10+F12+F14+F16+F18</f>
        <v>46598.147929724008</v>
      </c>
      <c r="G20" s="47">
        <f>G10+G12+G14+G16+G18</f>
        <v>58244.827190803997</v>
      </c>
      <c r="H20" s="47"/>
      <c r="I20" s="47"/>
      <c r="J20" s="47"/>
      <c r="K20" s="48"/>
      <c r="L20" s="107"/>
    </row>
    <row r="21" spans="1:13" ht="1.5" customHeight="1">
      <c r="A21" s="49"/>
      <c r="B21" s="49"/>
      <c r="C21" s="49"/>
      <c r="D21" s="50"/>
      <c r="E21" s="50"/>
      <c r="F21" s="49"/>
      <c r="G21" s="49"/>
      <c r="H21" s="49"/>
      <c r="I21" s="49"/>
      <c r="J21" s="49"/>
      <c r="K21" s="49"/>
    </row>
    <row r="22" spans="1:13" ht="34.5" customHeight="1">
      <c r="A22" s="192"/>
      <c r="B22" s="193"/>
      <c r="C22" s="193"/>
      <c r="D22" s="193"/>
      <c r="E22" s="193"/>
      <c r="F22" s="193"/>
      <c r="G22" s="194"/>
      <c r="H22" s="195"/>
      <c r="I22" s="196"/>
      <c r="J22" s="196"/>
      <c r="K22" s="197"/>
      <c r="M22" s="51" t="s">
        <v>97</v>
      </c>
    </row>
    <row r="23" spans="1:13" ht="14.25" customHeight="1">
      <c r="A23" s="198"/>
      <c r="B23" s="240" t="s">
        <v>104</v>
      </c>
      <c r="C23" s="240"/>
      <c r="D23" s="53"/>
      <c r="E23" s="54"/>
      <c r="F23" s="52"/>
      <c r="G23" s="55"/>
      <c r="H23" s="56" t="s">
        <v>98</v>
      </c>
      <c r="I23" s="30"/>
      <c r="J23" s="30"/>
      <c r="K23" s="199"/>
    </row>
    <row r="24" spans="1:13" ht="14.25" customHeight="1">
      <c r="A24" s="56"/>
      <c r="B24" s="304" t="s">
        <v>107</v>
      </c>
      <c r="C24" s="304"/>
      <c r="D24" s="29"/>
      <c r="E24" s="240" t="s">
        <v>103</v>
      </c>
      <c r="F24" s="240"/>
      <c r="G24" s="57"/>
      <c r="H24" s="58"/>
      <c r="I24" s="30"/>
      <c r="J24" s="30"/>
      <c r="K24" s="60"/>
    </row>
    <row r="25" spans="1:13" ht="37.5" customHeight="1">
      <c r="A25" s="200"/>
      <c r="B25" s="59"/>
      <c r="C25" s="59"/>
      <c r="D25" s="29"/>
      <c r="E25" s="29"/>
      <c r="F25" s="30"/>
      <c r="G25" s="60"/>
      <c r="H25" s="58"/>
      <c r="I25" s="30"/>
      <c r="J25" s="30"/>
      <c r="K25" s="60"/>
    </row>
    <row r="26" spans="1:13" ht="13.5" customHeight="1">
      <c r="A26" s="201"/>
      <c r="B26" s="240" t="s">
        <v>105</v>
      </c>
      <c r="C26" s="240"/>
      <c r="D26" s="61"/>
      <c r="E26" s="61"/>
      <c r="F26" s="62"/>
      <c r="G26" s="60"/>
      <c r="H26" s="58"/>
      <c r="I26" s="30"/>
      <c r="J26" s="30"/>
      <c r="K26" s="60"/>
    </row>
    <row r="27" spans="1:13" ht="14.25" customHeight="1">
      <c r="A27" s="202"/>
      <c r="B27" s="304" t="s">
        <v>106</v>
      </c>
      <c r="C27" s="304"/>
      <c r="D27" s="63"/>
      <c r="E27" s="63"/>
      <c r="F27" s="30"/>
      <c r="G27" s="60"/>
      <c r="H27" s="58"/>
      <c r="I27" s="30"/>
      <c r="J27" s="30"/>
      <c r="K27" s="60"/>
    </row>
    <row r="28" spans="1:13" ht="14.1" customHeight="1">
      <c r="A28" s="58"/>
      <c r="B28" s="30"/>
      <c r="C28" s="30"/>
      <c r="D28" s="29"/>
      <c r="E28" s="29"/>
      <c r="F28" s="30"/>
      <c r="G28" s="30"/>
      <c r="H28" s="58"/>
      <c r="I28" s="30"/>
      <c r="J28" s="30"/>
      <c r="K28" s="60"/>
    </row>
    <row r="29" spans="1:13">
      <c r="A29" s="203"/>
      <c r="B29" s="204"/>
      <c r="C29" s="204"/>
      <c r="D29" s="205"/>
      <c r="E29" s="205"/>
      <c r="F29" s="204"/>
      <c r="G29" s="204"/>
      <c r="H29" s="204"/>
      <c r="I29" s="204"/>
      <c r="J29" s="204"/>
      <c r="K29" s="206"/>
    </row>
  </sheetData>
  <mergeCells count="27">
    <mergeCell ref="B26:C26"/>
    <mergeCell ref="B27:C27"/>
    <mergeCell ref="A1:K1"/>
    <mergeCell ref="B23:C23"/>
    <mergeCell ref="A19:C20"/>
    <mergeCell ref="B24:C24"/>
    <mergeCell ref="E24:F24"/>
    <mergeCell ref="A15:A16"/>
    <mergeCell ref="B15:B16"/>
    <mergeCell ref="C15:C16"/>
    <mergeCell ref="A17:A18"/>
    <mergeCell ref="B17:B18"/>
    <mergeCell ref="C17:C18"/>
    <mergeCell ref="B9:B10"/>
    <mergeCell ref="C9:C10"/>
    <mergeCell ref="B11:B12"/>
    <mergeCell ref="C11:C12"/>
    <mergeCell ref="B13:B14"/>
    <mergeCell ref="C13:C14"/>
    <mergeCell ref="A7:C7"/>
    <mergeCell ref="D7:H7"/>
    <mergeCell ref="I7:K7"/>
    <mergeCell ref="A3:K3"/>
    <mergeCell ref="A5:K5"/>
    <mergeCell ref="A6:C6"/>
    <mergeCell ref="D6:H6"/>
    <mergeCell ref="I6:K6"/>
  </mergeCells>
  <printOptions horizontalCentered="1"/>
  <pageMargins left="0.39370078740157483" right="0.19685039370078741" top="0.59055118110236227" bottom="0.19685039370078741" header="0.19685039370078741" footer="0"/>
  <pageSetup paperSize="9" scale="67" orientation="landscape" horizontalDpi="4294967295" r:id="rId1"/>
  <headerFooter alignWithMargins="0"/>
  <drawing r:id="rId2"/>
  <legacyDrawing r:id="rId3"/>
  <oleObjects>
    <oleObject shapeId="6146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I34"/>
  <sheetViews>
    <sheetView view="pageBreakPreview" topLeftCell="A7" zoomScaleSheetLayoutView="100" workbookViewId="0">
      <selection activeCell="F11" sqref="F11:G11"/>
    </sheetView>
  </sheetViews>
  <sheetFormatPr defaultRowHeight="12.75"/>
  <cols>
    <col min="1" max="2" width="9.140625" style="159"/>
    <col min="3" max="3" width="21" style="159" customWidth="1"/>
    <col min="4" max="4" width="25.28515625" style="159" customWidth="1"/>
    <col min="5" max="6" width="9.140625" style="159"/>
    <col min="7" max="7" width="34.7109375" style="159" customWidth="1"/>
    <col min="8" max="16384" width="9.140625" style="159"/>
  </cols>
  <sheetData>
    <row r="1" spans="1:7" ht="13.5" thickBot="1"/>
    <row r="2" spans="1:7" ht="72.75" customHeight="1" thickBot="1">
      <c r="B2" s="350" t="s">
        <v>71</v>
      </c>
      <c r="C2" s="351"/>
      <c r="D2" s="351"/>
      <c r="E2" s="351"/>
      <c r="F2" s="351"/>
      <c r="G2" s="352"/>
    </row>
    <row r="3" spans="1:7" ht="13.5" thickBot="1">
      <c r="B3" s="353" t="s">
        <v>134</v>
      </c>
      <c r="C3" s="354"/>
      <c r="D3" s="354"/>
      <c r="E3" s="354"/>
      <c r="F3" s="354"/>
      <c r="G3" s="355"/>
    </row>
    <row r="4" spans="1:7">
      <c r="B4" s="160" t="s">
        <v>135</v>
      </c>
      <c r="C4" s="356" t="s">
        <v>136</v>
      </c>
      <c r="D4" s="356"/>
      <c r="E4" s="356"/>
      <c r="F4" s="356"/>
      <c r="G4" s="357"/>
    </row>
    <row r="5" spans="1:7">
      <c r="B5" s="329" t="s">
        <v>137</v>
      </c>
      <c r="C5" s="346"/>
      <c r="D5" s="346"/>
      <c r="E5" s="346"/>
      <c r="F5" s="346"/>
      <c r="G5" s="358"/>
    </row>
    <row r="6" spans="1:7">
      <c r="A6" s="161"/>
      <c r="B6" s="359" t="s">
        <v>138</v>
      </c>
      <c r="C6" s="360"/>
      <c r="D6" s="360"/>
      <c r="E6" s="360"/>
      <c r="F6" s="360"/>
      <c r="G6" s="361"/>
    </row>
    <row r="7" spans="1:7">
      <c r="B7" s="162"/>
      <c r="C7" s="330" t="s">
        <v>139</v>
      </c>
      <c r="D7" s="347"/>
      <c r="E7" s="163" t="s">
        <v>140</v>
      </c>
      <c r="F7" s="348" t="s">
        <v>172</v>
      </c>
      <c r="G7" s="349"/>
    </row>
    <row r="8" spans="1:7">
      <c r="B8" s="162"/>
      <c r="C8" s="329" t="s">
        <v>169</v>
      </c>
      <c r="D8" s="330"/>
      <c r="E8" s="163" t="s">
        <v>170</v>
      </c>
      <c r="F8" s="331">
        <v>100</v>
      </c>
      <c r="G8" s="332"/>
    </row>
    <row r="9" spans="1:7">
      <c r="B9" s="162"/>
      <c r="C9" s="325" t="s">
        <v>141</v>
      </c>
      <c r="D9" s="326"/>
      <c r="E9" s="164" t="s">
        <v>142</v>
      </c>
      <c r="F9" s="327">
        <v>4.4999999999999998E-2</v>
      </c>
      <c r="G9" s="328"/>
    </row>
    <row r="10" spans="1:7">
      <c r="B10" s="162"/>
      <c r="C10" s="325" t="s">
        <v>143</v>
      </c>
      <c r="D10" s="326"/>
      <c r="E10" s="164" t="s">
        <v>144</v>
      </c>
      <c r="F10" s="327">
        <v>7.5499999999999998E-2</v>
      </c>
      <c r="G10" s="328"/>
    </row>
    <row r="11" spans="1:7">
      <c r="B11" s="162"/>
      <c r="C11" s="333" t="s">
        <v>145</v>
      </c>
      <c r="D11" s="325"/>
      <c r="E11" s="164" t="s">
        <v>146</v>
      </c>
      <c r="F11" s="334">
        <v>3.7000000000000002E-3</v>
      </c>
      <c r="G11" s="335"/>
    </row>
    <row r="12" spans="1:7">
      <c r="B12" s="162"/>
      <c r="C12" s="325" t="s">
        <v>171</v>
      </c>
      <c r="D12" s="326"/>
      <c r="F12" s="327">
        <v>1.7100000000000001E-2</v>
      </c>
      <c r="G12" s="328"/>
    </row>
    <row r="13" spans="1:7">
      <c r="B13" s="162"/>
      <c r="C13" s="333" t="s">
        <v>147</v>
      </c>
      <c r="D13" s="325"/>
      <c r="E13" s="164" t="s">
        <v>148</v>
      </c>
      <c r="F13" s="334">
        <v>3.0000000000000001E-3</v>
      </c>
      <c r="G13" s="335"/>
    </row>
    <row r="14" spans="1:7">
      <c r="B14" s="162"/>
      <c r="C14" s="325" t="s">
        <v>149</v>
      </c>
      <c r="D14" s="326"/>
      <c r="E14" s="164" t="s">
        <v>150</v>
      </c>
      <c r="F14" s="327">
        <v>4.4000000000000003E-3</v>
      </c>
      <c r="G14" s="328"/>
    </row>
    <row r="15" spans="1:7">
      <c r="B15" s="162"/>
      <c r="C15" s="325" t="s">
        <v>151</v>
      </c>
      <c r="D15" s="326"/>
      <c r="E15" s="164" t="s">
        <v>152</v>
      </c>
      <c r="F15" s="327">
        <v>9.7000000000000003E-3</v>
      </c>
      <c r="G15" s="328"/>
    </row>
    <row r="16" spans="1:7">
      <c r="B16" s="162"/>
      <c r="C16" s="325" t="s">
        <v>153</v>
      </c>
      <c r="D16" s="326"/>
      <c r="E16" s="164" t="s">
        <v>154</v>
      </c>
      <c r="F16" s="327">
        <v>7.1499999999999994E-2</v>
      </c>
      <c r="G16" s="328"/>
    </row>
    <row r="17" spans="1:9">
      <c r="B17" s="162"/>
      <c r="C17" s="325" t="s">
        <v>155</v>
      </c>
      <c r="D17" s="326"/>
      <c r="E17" s="164" t="s">
        <v>155</v>
      </c>
      <c r="F17" s="327">
        <v>3.5000000000000003E-2</v>
      </c>
      <c r="G17" s="328"/>
    </row>
    <row r="18" spans="1:9">
      <c r="B18" s="162"/>
      <c r="C18" s="325" t="s">
        <v>156</v>
      </c>
      <c r="D18" s="326"/>
      <c r="E18" s="164" t="s">
        <v>156</v>
      </c>
      <c r="F18" s="327">
        <v>6.4999999999999997E-3</v>
      </c>
      <c r="G18" s="328"/>
    </row>
    <row r="19" spans="1:9">
      <c r="B19" s="162"/>
      <c r="C19" s="325" t="s">
        <v>157</v>
      </c>
      <c r="D19" s="326"/>
      <c r="E19" s="165" t="s">
        <v>157</v>
      </c>
      <c r="F19" s="342">
        <v>0.03</v>
      </c>
      <c r="G19" s="343"/>
    </row>
    <row r="20" spans="1:9">
      <c r="B20" s="162"/>
      <c r="C20" s="325" t="s">
        <v>158</v>
      </c>
      <c r="D20" s="326"/>
      <c r="E20" s="164" t="s">
        <v>159</v>
      </c>
      <c r="F20" s="342">
        <v>4.4999999999999998E-2</v>
      </c>
      <c r="G20" s="343"/>
    </row>
    <row r="21" spans="1:9">
      <c r="B21" s="162"/>
      <c r="C21" s="344" t="s">
        <v>160</v>
      </c>
      <c r="D21" s="345" t="s">
        <v>161</v>
      </c>
      <c r="E21" s="346"/>
      <c r="F21" s="330"/>
      <c r="G21" s="319">
        <v>-1</v>
      </c>
    </row>
    <row r="22" spans="1:9">
      <c r="B22" s="162"/>
      <c r="C22" s="344"/>
      <c r="D22" s="320" t="s">
        <v>162</v>
      </c>
      <c r="E22" s="321"/>
      <c r="F22" s="322"/>
      <c r="G22" s="319"/>
    </row>
    <row r="23" spans="1:9">
      <c r="B23" s="166"/>
      <c r="C23" s="336" t="s">
        <v>163</v>
      </c>
      <c r="D23" s="337"/>
      <c r="E23" s="327">
        <f>(1+(F9+F13+F14+F15))*(1+F11)*(1+F10)</f>
        <v>1.1465150176350001</v>
      </c>
      <c r="F23" s="327"/>
      <c r="G23" s="328"/>
    </row>
    <row r="24" spans="1:9">
      <c r="B24" s="167"/>
      <c r="C24" s="336" t="s">
        <v>164</v>
      </c>
      <c r="D24" s="337"/>
      <c r="E24" s="327">
        <f>(1-(F16+F20))</f>
        <v>0.88349999999999995</v>
      </c>
      <c r="F24" s="327"/>
      <c r="G24" s="328"/>
    </row>
    <row r="25" spans="1:9" ht="13.5" thickBot="1">
      <c r="B25" s="168"/>
      <c r="C25" s="338" t="s">
        <v>165</v>
      </c>
      <c r="D25" s="339"/>
      <c r="E25" s="340">
        <f>(E23/E24)-1</f>
        <v>0.29769668096774216</v>
      </c>
      <c r="F25" s="340"/>
      <c r="G25" s="341"/>
    </row>
    <row r="27" spans="1:9">
      <c r="A27" s="318" t="s">
        <v>166</v>
      </c>
      <c r="B27" s="318"/>
      <c r="C27" s="318"/>
      <c r="D27" s="318"/>
      <c r="E27" s="318"/>
      <c r="F27" s="318"/>
      <c r="G27" s="318"/>
      <c r="H27" s="318"/>
      <c r="I27" s="169"/>
    </row>
    <row r="28" spans="1:9">
      <c r="B28" s="170"/>
      <c r="C28" s="170"/>
      <c r="D28" s="170"/>
      <c r="E28" s="170"/>
      <c r="F28" s="171"/>
      <c r="G28" s="169"/>
      <c r="H28" s="169"/>
      <c r="I28" s="169"/>
    </row>
    <row r="29" spans="1:9">
      <c r="B29" s="172"/>
      <c r="C29" s="170"/>
      <c r="D29" s="170"/>
      <c r="E29" s="170"/>
      <c r="F29" s="171"/>
      <c r="G29" s="169"/>
      <c r="H29" s="169"/>
      <c r="I29" s="169"/>
    </row>
    <row r="30" spans="1:9">
      <c r="A30" s="173" t="s">
        <v>167</v>
      </c>
      <c r="B30" s="170"/>
      <c r="C30" s="170"/>
      <c r="D30" s="170"/>
      <c r="E30" s="171"/>
      <c r="F30" s="169"/>
      <c r="G30" s="169"/>
      <c r="H30" s="169"/>
      <c r="I30" s="174"/>
    </row>
    <row r="31" spans="1:9">
      <c r="A31" s="323" t="s">
        <v>168</v>
      </c>
      <c r="B31" s="323"/>
      <c r="C31" s="323"/>
      <c r="D31" s="323"/>
      <c r="E31" s="323"/>
      <c r="F31" s="323"/>
      <c r="G31" s="323"/>
      <c r="H31" s="323"/>
      <c r="I31" s="175"/>
    </row>
    <row r="32" spans="1:9">
      <c r="A32" s="324" t="s">
        <v>132</v>
      </c>
      <c r="B32" s="324"/>
      <c r="C32" s="324"/>
      <c r="D32" s="324"/>
      <c r="E32" s="324"/>
      <c r="F32" s="324"/>
      <c r="G32" s="324"/>
      <c r="H32" s="324"/>
      <c r="I32" s="176"/>
    </row>
    <row r="33" spans="1:9">
      <c r="A33" s="317" t="s">
        <v>107</v>
      </c>
      <c r="B33" s="317"/>
      <c r="C33" s="317"/>
      <c r="D33" s="317"/>
      <c r="E33" s="317"/>
      <c r="F33" s="317"/>
      <c r="G33" s="317"/>
      <c r="H33" s="317"/>
      <c r="I33" s="177"/>
    </row>
    <row r="34" spans="1:9">
      <c r="A34" s="318" t="s">
        <v>133</v>
      </c>
      <c r="B34" s="318"/>
      <c r="C34" s="318"/>
      <c r="D34" s="318"/>
      <c r="E34" s="318"/>
      <c r="F34" s="318"/>
      <c r="G34" s="318"/>
      <c r="H34" s="318"/>
    </row>
  </sheetData>
  <mergeCells count="48">
    <mergeCell ref="C7:D7"/>
    <mergeCell ref="F7:G7"/>
    <mergeCell ref="B2:G2"/>
    <mergeCell ref="B3:G3"/>
    <mergeCell ref="C4:G4"/>
    <mergeCell ref="B5:G5"/>
    <mergeCell ref="B6:G6"/>
    <mergeCell ref="C14:D14"/>
    <mergeCell ref="F14:G14"/>
    <mergeCell ref="C24:D24"/>
    <mergeCell ref="E24:G24"/>
    <mergeCell ref="C25:D25"/>
    <mergeCell ref="E25:G25"/>
    <mergeCell ref="C19:D19"/>
    <mergeCell ref="F19:G19"/>
    <mergeCell ref="C20:D20"/>
    <mergeCell ref="F20:G20"/>
    <mergeCell ref="C21:C22"/>
    <mergeCell ref="D21:F21"/>
    <mergeCell ref="C15:D15"/>
    <mergeCell ref="F15:G15"/>
    <mergeCell ref="C23:D23"/>
    <mergeCell ref="E23:G23"/>
    <mergeCell ref="C8:D8"/>
    <mergeCell ref="F8:G8"/>
    <mergeCell ref="C11:D11"/>
    <mergeCell ref="F11:G11"/>
    <mergeCell ref="C13:D13"/>
    <mergeCell ref="F13:G13"/>
    <mergeCell ref="C9:D9"/>
    <mergeCell ref="F9:G9"/>
    <mergeCell ref="C10:D10"/>
    <mergeCell ref="F10:G10"/>
    <mergeCell ref="C12:D12"/>
    <mergeCell ref="F12:G12"/>
    <mergeCell ref="C16:D16"/>
    <mergeCell ref="F16:G16"/>
    <mergeCell ref="C17:D17"/>
    <mergeCell ref="F17:G17"/>
    <mergeCell ref="C18:D18"/>
    <mergeCell ref="F18:G18"/>
    <mergeCell ref="A33:H33"/>
    <mergeCell ref="A34:H34"/>
    <mergeCell ref="G21:G22"/>
    <mergeCell ref="D22:F22"/>
    <mergeCell ref="A27:H27"/>
    <mergeCell ref="A31:H31"/>
    <mergeCell ref="A32:H32"/>
  </mergeCells>
  <pageMargins left="0.511811024" right="0.511811024" top="0.78740157499999996" bottom="0.78740157499999996" header="0.31496062000000002" footer="0.31496062000000002"/>
  <pageSetup paperSize="9" scale="74" orientation="portrait" r:id="rId1"/>
  <legacyDrawing r:id="rId2"/>
  <oleObjects>
    <oleObject shapeId="8193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Planilha Orcamentaria</vt:lpstr>
      <vt:lpstr>Memoria de calculo</vt:lpstr>
      <vt:lpstr>CRONOGRAMA FISICO FINANCEIRO</vt:lpstr>
      <vt:lpstr>BDI</vt:lpstr>
      <vt:lpstr>'CRONOGRAMA FISICO FINANCEIRO'!Area_de_impressao</vt:lpstr>
      <vt:lpstr>'Memoria de calculo'!Area_de_impressao</vt:lpstr>
      <vt:lpstr>'Planilha Orcamentaria'!Area_de_impressao</vt:lpstr>
      <vt:lpstr>'Memoria de calculo'!Titulos_de_impressao</vt:lpstr>
    </vt:vector>
  </TitlesOfParts>
  <Company>Setop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User</cp:lastModifiedBy>
  <cp:lastPrinted>2020-09-15T13:43:30Z</cp:lastPrinted>
  <dcterms:created xsi:type="dcterms:W3CDTF">2006-09-22T13:55:22Z</dcterms:created>
  <dcterms:modified xsi:type="dcterms:W3CDTF">2020-10-14T11:27:02Z</dcterms:modified>
</cp:coreProperties>
</file>